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Thesis\"/>
    </mc:Choice>
  </mc:AlternateContent>
  <xr:revisionPtr revIDLastSave="0" documentId="13_ncr:1_{4D667E3B-2F87-44B6-A57B-CE174513EA36}" xr6:coauthVersionLast="46" xr6:coauthVersionMax="46" xr10:uidLastSave="{00000000-0000-0000-0000-000000000000}"/>
  <bookViews>
    <workbookView xWindow="-108" yWindow="-108" windowWidth="23256" windowHeight="12576" tabRatio="835" firstSheet="4" activeTab="14" xr2:uid="{00000000-000D-0000-FFFF-FFFF00000000}"/>
  </bookViews>
  <sheets>
    <sheet name="AL4 100bar" sheetId="1" r:id="rId1"/>
    <sheet name="AL4 150bar" sheetId="4" r:id="rId2"/>
    <sheet name="AL4 200bar" sheetId="9" r:id="rId3"/>
    <sheet name="AL4 final" sheetId="11" r:id="rId4"/>
    <sheet name="AL5 100bar" sheetId="5" r:id="rId5"/>
    <sheet name="AL5 150bar" sheetId="2" r:id="rId6"/>
    <sheet name="AL5 200bar" sheetId="6" r:id="rId7"/>
    <sheet name="AL5 final" sheetId="14" r:id="rId8"/>
    <sheet name="AL6 100bar" sheetId="8" r:id="rId9"/>
    <sheet name="AL6 150 bar" sheetId="7" r:id="rId10"/>
    <sheet name="AL6 200 bar" sheetId="3" r:id="rId11"/>
    <sheet name="Al6 final" sheetId="10" r:id="rId12"/>
    <sheet name="3 in 1 perm vs pres" sheetId="15" r:id="rId13"/>
    <sheet name="3 in 1 prf vs temp" sheetId="16" r:id="rId14"/>
    <sheet name="3 in 1 PRF vs pres" sheetId="17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5" l="1"/>
  <c r="M8" i="15"/>
  <c r="M9" i="15"/>
  <c r="N9" i="15"/>
  <c r="O10" i="15"/>
  <c r="N10" i="15"/>
  <c r="M10" i="15"/>
  <c r="M10" i="9"/>
  <c r="AK5" i="17" l="1"/>
  <c r="AK4" i="17"/>
  <c r="AK3" i="17"/>
  <c r="AD5" i="17"/>
  <c r="AD4" i="17"/>
  <c r="AD3" i="17"/>
  <c r="W5" i="17"/>
  <c r="W4" i="17"/>
  <c r="W3" i="17"/>
  <c r="P4" i="17"/>
  <c r="P5" i="17"/>
  <c r="P3" i="17"/>
  <c r="X4" i="16"/>
  <c r="AE6" i="16"/>
  <c r="AE5" i="16"/>
  <c r="AE4" i="16"/>
  <c r="AE3" i="16"/>
  <c r="X6" i="16"/>
  <c r="X5" i="16"/>
  <c r="X3" i="16"/>
  <c r="Q4" i="16"/>
  <c r="Q5" i="16"/>
  <c r="Q6" i="16"/>
  <c r="Q3" i="16"/>
  <c r="AG10" i="15"/>
  <c r="AF10" i="15"/>
  <c r="AE10" i="15"/>
  <c r="AG9" i="15"/>
  <c r="AF9" i="15"/>
  <c r="AE9" i="15"/>
  <c r="AG8" i="15"/>
  <c r="AF8" i="15"/>
  <c r="AE8" i="15"/>
  <c r="AA10" i="15"/>
  <c r="Z10" i="15"/>
  <c r="Y10" i="15"/>
  <c r="AA9" i="15"/>
  <c r="Z9" i="15"/>
  <c r="Y9" i="15"/>
  <c r="AA8" i="15"/>
  <c r="Z8" i="15"/>
  <c r="Y8" i="15"/>
  <c r="S8" i="15"/>
  <c r="U10" i="15"/>
  <c r="T10" i="15"/>
  <c r="S10" i="15"/>
  <c r="U9" i="15"/>
  <c r="T9" i="15"/>
  <c r="S9" i="15"/>
  <c r="U8" i="15"/>
  <c r="T8" i="15"/>
  <c r="O9" i="15"/>
  <c r="N8" i="15"/>
  <c r="AH4" i="15"/>
  <c r="AH5" i="15"/>
  <c r="AH3" i="15"/>
  <c r="AB4" i="15"/>
  <c r="AB5" i="15"/>
  <c r="AB3" i="15"/>
  <c r="V4" i="15"/>
  <c r="V5" i="15"/>
  <c r="V3" i="15"/>
  <c r="P4" i="15"/>
  <c r="P5" i="15"/>
  <c r="P3" i="15"/>
  <c r="C17" i="7" l="1"/>
  <c r="D17" i="7" s="1"/>
  <c r="C18" i="3"/>
  <c r="A13" i="3"/>
  <c r="A13" i="7"/>
  <c r="C21" i="3"/>
  <c r="C20" i="3"/>
  <c r="C19" i="3"/>
  <c r="C20" i="7"/>
  <c r="C19" i="7"/>
  <c r="C18" i="7"/>
  <c r="N13" i="9" l="1"/>
  <c r="I13" i="9"/>
  <c r="E13" i="9"/>
  <c r="A13" i="9"/>
  <c r="N22" i="4"/>
  <c r="I22" i="4"/>
  <c r="E22" i="4"/>
  <c r="A22" i="4"/>
  <c r="C21" i="1"/>
  <c r="B20" i="1"/>
  <c r="B19" i="1"/>
  <c r="B18" i="1"/>
  <c r="M13" i="1"/>
  <c r="I13" i="1"/>
  <c r="E13" i="1"/>
  <c r="A13" i="1"/>
  <c r="A14" i="5" l="1"/>
  <c r="D20" i="6" l="1"/>
  <c r="C20" i="2"/>
  <c r="C20" i="5"/>
  <c r="D20" i="5" s="1"/>
  <c r="C21" i="5"/>
  <c r="D21" i="5"/>
  <c r="C22" i="5"/>
  <c r="D22" i="5" s="1"/>
  <c r="C23" i="5"/>
  <c r="D23" i="5"/>
  <c r="C21" i="6"/>
  <c r="C22" i="6"/>
  <c r="C23" i="6"/>
  <c r="C20" i="6"/>
  <c r="C21" i="2"/>
  <c r="C22" i="2"/>
  <c r="C23" i="2"/>
  <c r="I13" i="7" l="1"/>
  <c r="M13" i="7"/>
  <c r="I13" i="8"/>
  <c r="M13" i="8"/>
  <c r="D18" i="8" l="1"/>
  <c r="I15" i="6" l="1"/>
  <c r="M15" i="6"/>
  <c r="E15" i="6"/>
  <c r="K15" i="2"/>
  <c r="F15" i="2"/>
  <c r="A15" i="2"/>
  <c r="I14" i="5"/>
  <c r="E14" i="5"/>
  <c r="E15" i="5" s="1"/>
  <c r="D21" i="6"/>
  <c r="D22" i="6"/>
  <c r="D23" i="6"/>
  <c r="M16" i="6"/>
  <c r="I16" i="6"/>
  <c r="E16" i="6"/>
  <c r="A16" i="6"/>
  <c r="A15" i="6"/>
  <c r="M14" i="5"/>
  <c r="M15" i="5" s="1"/>
  <c r="I15" i="5"/>
  <c r="A4" i="6" l="1"/>
  <c r="A5" i="6" s="1"/>
  <c r="A6" i="6" s="1"/>
  <c r="A15" i="5"/>
  <c r="A4" i="5"/>
  <c r="A5" i="5" s="1"/>
  <c r="A6" i="5" s="1"/>
  <c r="A7" i="5" s="1"/>
  <c r="A8" i="5" s="1"/>
  <c r="A9" i="5" s="1"/>
  <c r="N14" i="9" l="1"/>
  <c r="N23" i="4" l="1"/>
  <c r="A16" i="2" l="1"/>
  <c r="A13" i="8"/>
  <c r="M13" i="3" l="1"/>
  <c r="I14" i="9" l="1"/>
  <c r="I23" i="4"/>
  <c r="E14" i="9"/>
  <c r="A14" i="9"/>
  <c r="E23" i="4"/>
  <c r="A23" i="4"/>
  <c r="A5" i="9" l="1"/>
  <c r="A6" i="9" s="1"/>
  <c r="A7" i="9" s="1"/>
  <c r="A4" i="9"/>
  <c r="M14" i="8" l="1"/>
  <c r="I14" i="7"/>
  <c r="M14" i="7"/>
  <c r="I14" i="8"/>
  <c r="E13" i="8"/>
  <c r="E14" i="8" s="1"/>
  <c r="E13" i="7"/>
  <c r="E14" i="7" s="1"/>
  <c r="A14" i="8"/>
  <c r="A14" i="7"/>
  <c r="C19" i="8" l="1"/>
  <c r="D19" i="8" s="1"/>
  <c r="C21" i="8"/>
  <c r="D21" i="8" s="1"/>
  <c r="C20" i="8"/>
  <c r="D20" i="8" s="1"/>
  <c r="D18" i="7"/>
  <c r="D19" i="7"/>
  <c r="D20" i="7"/>
  <c r="A4" i="8" l="1"/>
  <c r="A5" i="8" s="1"/>
  <c r="A6" i="8" s="1"/>
  <c r="A7" i="8" s="1"/>
  <c r="A8" i="8" s="1"/>
  <c r="A4" i="7"/>
  <c r="A5" i="7" s="1"/>
  <c r="A6" i="7" s="1"/>
  <c r="A7" i="7" s="1"/>
  <c r="A8" i="7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D19" i="3" l="1"/>
  <c r="D20" i="3"/>
  <c r="D21" i="3"/>
  <c r="D18" i="3"/>
  <c r="D21" i="2"/>
  <c r="D20" i="2"/>
  <c r="M14" i="3" l="1"/>
  <c r="I13" i="3"/>
  <c r="I14" i="3"/>
  <c r="E14" i="3"/>
  <c r="A14" i="3"/>
  <c r="E13" i="3"/>
  <c r="D23" i="2"/>
  <c r="D22" i="2"/>
  <c r="O16" i="2"/>
  <c r="O15" i="2"/>
  <c r="K16" i="2"/>
  <c r="F16" i="2"/>
  <c r="A5" i="3" l="1"/>
  <c r="A6" i="3"/>
  <c r="A7" i="3"/>
  <c r="A8" i="3"/>
  <c r="A9" i="3"/>
  <c r="A4" i="3"/>
  <c r="A11" i="2" l="1"/>
  <c r="A12" i="2"/>
  <c r="A5" i="2" l="1"/>
  <c r="A6" i="2"/>
  <c r="A7" i="2"/>
  <c r="A8" i="2"/>
  <c r="A9" i="2"/>
  <c r="A10" i="2"/>
  <c r="A4" i="2"/>
  <c r="M14" i="1"/>
  <c r="I14" i="1"/>
  <c r="E14" i="1"/>
  <c r="A14" i="1"/>
  <c r="C23" i="9" l="1"/>
  <c r="D23" i="9" s="1"/>
  <c r="C22" i="9"/>
  <c r="D22" i="9" s="1"/>
  <c r="C21" i="9"/>
  <c r="D21" i="9" s="1"/>
  <c r="C24" i="9"/>
  <c r="D24" i="9" s="1"/>
  <c r="C19" i="1"/>
  <c r="D19" i="1" s="1"/>
  <c r="C30" i="4"/>
  <c r="D30" i="4" s="1"/>
  <c r="C29" i="4"/>
  <c r="D29" i="4" s="1"/>
  <c r="C28" i="4"/>
  <c r="D28" i="4" s="1"/>
  <c r="C27" i="4"/>
  <c r="D27" i="4" s="1"/>
  <c r="C20" i="1"/>
  <c r="D20" i="1" s="1"/>
  <c r="D21" i="1"/>
  <c r="C18" i="1"/>
  <c r="D18" i="1" s="1"/>
  <c r="A4" i="1" l="1"/>
  <c r="A5" i="1" s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<sst xmlns="http://schemas.openxmlformats.org/spreadsheetml/2006/main" count="518" uniqueCount="38">
  <si>
    <t>tim(min)</t>
  </si>
  <si>
    <t>pressure (bar)</t>
  </si>
  <si>
    <t>water (ml)</t>
  </si>
  <si>
    <t>20 C</t>
  </si>
  <si>
    <t>40 C</t>
  </si>
  <si>
    <t>60 C</t>
  </si>
  <si>
    <t>80 C</t>
  </si>
  <si>
    <t>mD</t>
  </si>
  <si>
    <t>m2</t>
  </si>
  <si>
    <t>Kabs</t>
  </si>
  <si>
    <t>Temp©</t>
  </si>
  <si>
    <t>Kabs(mD)</t>
  </si>
  <si>
    <t>PRF</t>
  </si>
  <si>
    <t>PRF (%)</t>
  </si>
  <si>
    <t>Pressure</t>
  </si>
  <si>
    <t>Temp.</t>
  </si>
  <si>
    <t>AL4</t>
  </si>
  <si>
    <t>AL5</t>
  </si>
  <si>
    <t>AL6</t>
  </si>
  <si>
    <t>Samples</t>
  </si>
  <si>
    <t>average</t>
  </si>
  <si>
    <t>min</t>
  </si>
  <si>
    <t xml:space="preserve">max </t>
  </si>
  <si>
    <t>100 bar</t>
  </si>
  <si>
    <t>temp</t>
  </si>
  <si>
    <t>samples</t>
  </si>
  <si>
    <t xml:space="preserve">AL5 </t>
  </si>
  <si>
    <t>Average</t>
  </si>
  <si>
    <t>200 bar</t>
  </si>
  <si>
    <t>150 bar</t>
  </si>
  <si>
    <t xml:space="preserve">Sample </t>
  </si>
  <si>
    <t>press</t>
  </si>
  <si>
    <t>average table</t>
  </si>
  <si>
    <t>Temperature</t>
  </si>
  <si>
    <t>time (min)</t>
  </si>
  <si>
    <t>Press.(bar)</t>
  </si>
  <si>
    <t>Press. (bar)</t>
  </si>
  <si>
    <t>time(min)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</si>
</sst>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0" fillId="2" borderId="0" xfId="0" applyFill="1"/>
    <xf numFmtId="0" fontId="0" fillId="4" borderId="3" xfId="0" applyFill="1" applyBorder="1"/>
    <xf numFmtId="0" fontId="0" fillId="4" borderId="2" xfId="0" applyFill="1" applyBorder="1"/>
    <xf numFmtId="0" fontId="0" fillId="3" borderId="6" xfId="0" applyFill="1" applyBorder="1"/>
    <xf numFmtId="0" fontId="0" fillId="3" borderId="5" xfId="0" applyFill="1" applyBorder="1"/>
    <xf numFmtId="0" fontId="0" fillId="3" borderId="7" xfId="0" applyFill="1" applyBorder="1"/>
    <xf numFmtId="0" fontId="3" fillId="0" borderId="0" xfId="0" applyFont="1"/>
    <xf numFmtId="0" fontId="0" fillId="3" borderId="8" xfId="0" applyFill="1" applyBorder="1"/>
    <xf numFmtId="0" fontId="0" fillId="3" borderId="9" xfId="0" applyFill="1" applyBorder="1"/>
    <xf numFmtId="0" fontId="0" fillId="4" borderId="4" xfId="0" applyFill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10" xfId="0" applyBorder="1"/>
    <xf numFmtId="0" fontId="0" fillId="0" borderId="6" xfId="0" applyBorder="1"/>
    <xf numFmtId="0" fontId="0" fillId="0" borderId="11" xfId="0" applyBorder="1"/>
    <xf numFmtId="0" fontId="0" fillId="0" borderId="0" xfId="0" applyFill="1" applyBorder="1"/>
    <xf numFmtId="0" fontId="1" fillId="0" borderId="0" xfId="0" applyFont="1" applyFill="1" applyBorder="1"/>
    <xf numFmtId="0" fontId="0" fillId="2" borderId="1" xfId="0" applyFill="1" applyBorder="1"/>
    <xf numFmtId="0" fontId="0" fillId="2" borderId="12" xfId="0" applyFill="1" applyBorder="1"/>
    <xf numFmtId="0" fontId="0" fillId="5" borderId="0" xfId="0" applyFill="1"/>
    <xf numFmtId="0" fontId="0" fillId="5" borderId="0" xfId="0" applyFill="1" applyBorder="1"/>
    <xf numFmtId="0" fontId="0" fillId="0" borderId="0" xfId="0" applyFill="1"/>
    <xf numFmtId="0" fontId="0" fillId="2" borderId="13" xfId="0" applyFill="1" applyBorder="1"/>
    <xf numFmtId="0" fontId="0" fillId="6" borderId="1" xfId="0" applyFill="1" applyBorder="1"/>
    <xf numFmtId="0" fontId="0" fillId="0" borderId="13" xfId="0" applyBorder="1"/>
    <xf numFmtId="0" fontId="0" fillId="7" borderId="1" xfId="0" applyFill="1" applyBorder="1"/>
    <xf numFmtId="0" fontId="0" fillId="7" borderId="13" xfId="0" applyFill="1" applyBorder="1"/>
    <xf numFmtId="0" fontId="2" fillId="0" borderId="13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14" xfId="0" applyFill="1" applyBorder="1"/>
    <xf numFmtId="0" fontId="0" fillId="2" borderId="15" xfId="0" applyFill="1" applyBorder="1"/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AL4 </a:t>
            </a:r>
            <a:r>
              <a:rPr lang="en-US" baseline="0"/>
              <a:t> Kabs, PRF vs Temperature 100 bar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'AL4 100bar'!$A$18:$A$21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'AL4 100bar'!$B$18:$B$21</c:f>
              <c:numCache>
                <c:formatCode>General</c:formatCode>
                <c:ptCount val="4"/>
                <c:pt idx="0">
                  <c:v>0.22449992545566833</c:v>
                </c:pt>
                <c:pt idx="1">
                  <c:v>0.22223747671026647</c:v>
                </c:pt>
                <c:pt idx="2">
                  <c:v>0.18196597650720917</c:v>
                </c:pt>
                <c:pt idx="3">
                  <c:v>0.16214932133225485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F3-4D68-A5FB-411466A10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990624"/>
        <c:axId val="1886410448"/>
      </c:scatterChart>
      <c:scatterChart>
        <c:scatterStyle val="lineMarker"/>
        <c:varyColors val="0"/>
        <c:ser>
          <c:idx val="1"/>
          <c:order val="1"/>
          <c:tx>
            <c:v>PRF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'AL4 100bar'!$A$18:$A$21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'AL4 100bar'!$D$18:$D$21</c:f>
              <c:numCache>
                <c:formatCode>General</c:formatCode>
                <c:ptCount val="4"/>
                <c:pt idx="0">
                  <c:v>0</c:v>
                </c:pt>
                <c:pt idx="1">
                  <c:v>1.007772604293633</c:v>
                </c:pt>
                <c:pt idx="2">
                  <c:v>18.946086000753827</c:v>
                </c:pt>
                <c:pt idx="3">
                  <c:v>27.773106827033565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F3-4D68-A5FB-411466A10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057600"/>
        <c:axId val="2029060096"/>
      </c:scatterChart>
      <c:valAx>
        <c:axId val="202899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Tiemperature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6410448"/>
        <c:crosses val="autoZero"/>
        <c:crossBetween val="midCat"/>
      </c:valAx>
      <c:valAx>
        <c:axId val="188641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</a:t>
                </a:r>
                <a:r>
                  <a:rPr lang="en-US" baseline="0"/>
                  <a:t> Permeability 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990624"/>
        <c:crosses val="autoZero"/>
        <c:crossBetween val="midCat"/>
      </c:valAx>
      <c:valAx>
        <c:axId val="20290600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057600"/>
        <c:crosses val="max"/>
        <c:crossBetween val="midCat"/>
      </c:valAx>
      <c:valAx>
        <c:axId val="2029057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9060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100 bar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('AL5 final'!$C$1,'AL5 final'!$E$1,'AL5 final'!$G$1,'AL5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('AL5 final'!$C$3,'AL5 final'!$E$3,'AL5 final'!$G$3,'AL5 final'!$I$3)</c:f>
              <c:numCache>
                <c:formatCode>General</c:formatCode>
                <c:ptCount val="4"/>
                <c:pt idx="0">
                  <c:v>0</c:v>
                </c:pt>
                <c:pt idx="1">
                  <c:v>17.57042433933438</c:v>
                </c:pt>
                <c:pt idx="2">
                  <c:v>21.252507574338409</c:v>
                </c:pt>
                <c:pt idx="3">
                  <c:v>27.837218349296023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DB-41CE-A6D3-E9A9639D053C}"/>
            </c:ext>
          </c:extLst>
        </c:ser>
        <c:ser>
          <c:idx val="1"/>
          <c:order val="1"/>
          <c:tx>
            <c:v>150 bar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('AL5 final'!$C$1,'AL5 final'!$E$1,'AL5 final'!$G$1,'AL5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('AL5 final'!$C$4,'AL5 final'!$E$4,'AL5 final'!$G$4,'AL5 final'!$I$4)</c:f>
              <c:numCache>
                <c:formatCode>General</c:formatCode>
                <c:ptCount val="4"/>
                <c:pt idx="0">
                  <c:v>9.1018727103099106</c:v>
                </c:pt>
                <c:pt idx="1">
                  <c:v>17.570424339334156</c:v>
                </c:pt>
                <c:pt idx="2">
                  <c:v>21.252507574338196</c:v>
                </c:pt>
                <c:pt idx="3">
                  <c:v>27.837218349295835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DB-41CE-A6D3-E9A9639D053C}"/>
            </c:ext>
          </c:extLst>
        </c:ser>
        <c:ser>
          <c:idx val="2"/>
          <c:order val="2"/>
          <c:tx>
            <c:v>200 bar</c:v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('AL5 final'!$C$1,'AL5 final'!$E$1,'AL5 final'!$G$1,'AL5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('AL5 final'!$C$5,'AL5 final'!$E$5,'AL5 final'!$G$5,'AL5 final'!$I$5)</c:f>
              <c:numCache>
                <c:formatCode>General</c:formatCode>
                <c:ptCount val="4"/>
                <c:pt idx="0">
                  <c:v>16.685089786639207</c:v>
                </c:pt>
                <c:pt idx="1">
                  <c:v>17.570424339334156</c:v>
                </c:pt>
                <c:pt idx="2">
                  <c:v>21.252507574338196</c:v>
                </c:pt>
                <c:pt idx="3">
                  <c:v>27.837218349295835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DB-41CE-A6D3-E9A9639D0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58911"/>
        <c:axId val="60053087"/>
      </c:scatterChart>
      <c:valAx>
        <c:axId val="60058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53087"/>
        <c:crosses val="autoZero"/>
        <c:crossBetween val="midCat"/>
      </c:valAx>
      <c:valAx>
        <c:axId val="6005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58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0"/>
          <c:tx>
            <c:v>20 C</c:v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0070C0"/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final'!$B$3:$B$5</c:f>
              <c:numCache>
                <c:formatCode>General</c:formatCode>
                <c:ptCount val="3"/>
                <c:pt idx="0">
                  <c:v>0.13448774206133135</c:v>
                </c:pt>
                <c:pt idx="1">
                  <c:v>0.12224683896793873</c:v>
                </c:pt>
                <c:pt idx="2">
                  <c:v>0.11204834154637418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A65-4E4A-88E4-103367DB6D57}"/>
            </c:ext>
          </c:extLst>
        </c:ser>
        <c:ser>
          <c:idx val="5"/>
          <c:order val="1"/>
          <c:tx>
            <c:v>40 C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final'!$D$3:$D$5</c:f>
              <c:numCache>
                <c:formatCode>General</c:formatCode>
                <c:ptCount val="3"/>
                <c:pt idx="0">
                  <c:v>0.11085767509676595</c:v>
                </c:pt>
                <c:pt idx="1">
                  <c:v>0.11085767509676595</c:v>
                </c:pt>
                <c:pt idx="2">
                  <c:v>0.11085767509676595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A65-4E4A-88E4-103367DB6D57}"/>
            </c:ext>
          </c:extLst>
        </c:ser>
        <c:ser>
          <c:idx val="6"/>
          <c:order val="2"/>
          <c:tx>
            <c:v>60 C</c:v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final'!$F$3:$F$5</c:f>
              <c:numCache>
                <c:formatCode>General</c:formatCode>
                <c:ptCount val="3"/>
                <c:pt idx="0">
                  <c:v>0.1059057244931902</c:v>
                </c:pt>
                <c:pt idx="1">
                  <c:v>0.1059057244931902</c:v>
                </c:pt>
                <c:pt idx="2">
                  <c:v>0.1059057244931902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A65-4E4A-88E4-103367DB6D57}"/>
            </c:ext>
          </c:extLst>
        </c:ser>
        <c:ser>
          <c:idx val="7"/>
          <c:order val="3"/>
          <c:tx>
            <c:v>80 C</c:v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final'!$H$3:$H$5</c:f>
              <c:numCache>
                <c:formatCode>General</c:formatCode>
                <c:ptCount val="3"/>
                <c:pt idx="0">
                  <c:v>9.7050095650680512E-2</c:v>
                </c:pt>
                <c:pt idx="1">
                  <c:v>9.7050095650680512E-2</c:v>
                </c:pt>
                <c:pt idx="2">
                  <c:v>9.7050095650680512E-2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A65-4E4A-88E4-103367DB6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99679"/>
        <c:axId val="2132190527"/>
      </c:scatterChart>
      <c:valAx>
        <c:axId val="2132199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Confinement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90527"/>
        <c:crosses val="autoZero"/>
        <c:crossBetween val="midCat"/>
      </c:valAx>
      <c:valAx>
        <c:axId val="213219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 (mD)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996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20 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final'!$C$3:$C$5</c:f>
              <c:numCache>
                <c:formatCode>General</c:formatCode>
                <c:ptCount val="3"/>
                <c:pt idx="0">
                  <c:v>0</c:v>
                </c:pt>
                <c:pt idx="1">
                  <c:v>9.1018727103099106</c:v>
                </c:pt>
                <c:pt idx="2">
                  <c:v>16.685089786639207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52-4AC9-AFF7-1C8E30821A44}"/>
            </c:ext>
          </c:extLst>
        </c:ser>
        <c:ser>
          <c:idx val="1"/>
          <c:order val="1"/>
          <c:tx>
            <c:v>40 C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final'!$E$3:$E$5</c:f>
              <c:numCache>
                <c:formatCode>General</c:formatCode>
                <c:ptCount val="3"/>
                <c:pt idx="0">
                  <c:v>17.57042433933438</c:v>
                </c:pt>
                <c:pt idx="1">
                  <c:v>17.570424339334156</c:v>
                </c:pt>
                <c:pt idx="2">
                  <c:v>17.570424339334156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52-4AC9-AFF7-1C8E30821A44}"/>
            </c:ext>
          </c:extLst>
        </c:ser>
        <c:ser>
          <c:idx val="2"/>
          <c:order val="2"/>
          <c:tx>
            <c:v>60 C</c:v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final'!$G$3:$G$5</c:f>
              <c:numCache>
                <c:formatCode>General</c:formatCode>
                <c:ptCount val="3"/>
                <c:pt idx="0">
                  <c:v>21.252507574338409</c:v>
                </c:pt>
                <c:pt idx="1">
                  <c:v>21.252507574338196</c:v>
                </c:pt>
                <c:pt idx="2">
                  <c:v>21.252507574338196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52-4AC9-AFF7-1C8E30821A44}"/>
            </c:ext>
          </c:extLst>
        </c:ser>
        <c:ser>
          <c:idx val="3"/>
          <c:order val="3"/>
          <c:tx>
            <c:v>80 C</c:v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'AL5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'AL5 final'!$I$3:$I$5</c:f>
              <c:numCache>
                <c:formatCode>General</c:formatCode>
                <c:ptCount val="3"/>
                <c:pt idx="0">
                  <c:v>27.837218349296023</c:v>
                </c:pt>
                <c:pt idx="1">
                  <c:v>27.837218349295835</c:v>
                </c:pt>
                <c:pt idx="2">
                  <c:v>27.837218349295835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52-4AC9-AFF7-1C8E30821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99679"/>
        <c:axId val="2132190527"/>
      </c:scatterChart>
      <c:valAx>
        <c:axId val="2132199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Confinement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90527"/>
        <c:crosses val="autoZero"/>
        <c:crossBetween val="midCat"/>
      </c:valAx>
      <c:valAx>
        <c:axId val="213219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1996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AL6 Kabs, PRF vs Temperature 100 bar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'AL6 100bar'!$A$18:$A$21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'AL6 100bar'!$B$18:$B$21</c:f>
              <c:numCache>
                <c:formatCode>General</c:formatCode>
                <c:ptCount val="4"/>
                <c:pt idx="0">
                  <c:v>0.13470782351416</c:v>
                </c:pt>
                <c:pt idx="1">
                  <c:v>0.11103908730444068</c:v>
                </c:pt>
                <c:pt idx="2">
                  <c:v>0.11070181749643972</c:v>
                </c:pt>
                <c:pt idx="3">
                  <c:v>0.10804179966644503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F8-4EB9-99C4-C028B8211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836256"/>
        <c:axId val="140288128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'AL6 100bar'!$A$18:$A$21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'AL6 100bar'!$D$18:$D$21</c:f>
              <c:numCache>
                <c:formatCode>General</c:formatCode>
                <c:ptCount val="4"/>
                <c:pt idx="0">
                  <c:v>0</c:v>
                </c:pt>
                <c:pt idx="1">
                  <c:v>17.570424339334366</c:v>
                </c:pt>
                <c:pt idx="2">
                  <c:v>17.820795698029436</c:v>
                </c:pt>
                <c:pt idx="3">
                  <c:v>19.795452967816786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F8-4EB9-99C4-C028B8211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055248"/>
        <c:axId val="142057744"/>
      </c:scatterChart>
      <c:valAx>
        <c:axId val="24083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288128"/>
        <c:crosses val="autoZero"/>
        <c:crossBetween val="midCat"/>
      </c:valAx>
      <c:valAx>
        <c:axId val="1402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</a:t>
                </a:r>
                <a:r>
                  <a:rPr lang="en-US" baseline="0"/>
                  <a:t> permeability (mD)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0836256"/>
        <c:crosses val="autoZero"/>
        <c:crossBetween val="midCat"/>
      </c:valAx>
      <c:valAx>
        <c:axId val="14205774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055248"/>
        <c:crosses val="max"/>
        <c:crossBetween val="midCat"/>
      </c:valAx>
      <c:valAx>
        <c:axId val="142055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057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  <a:latin typeface="Calibri (Body)"/>
              </a:rPr>
              <a:t>AL6 Kabs, PRF vs Temperature </a:t>
            </a:r>
            <a:r>
              <a:rPr lang="en-US" sz="1400" b="0" i="0" baseline="0">
                <a:effectLst/>
                <a:latin typeface="Calibri (Body)"/>
              </a:rPr>
              <a:t>150 bar</a:t>
            </a:r>
            <a:endParaRPr lang="en-US" sz="1400">
              <a:effectLst/>
              <a:latin typeface="Calibri (Body)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'AL6 150 bar'!$A$17:$A$20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'AL6 150 bar'!$B$17:$B$20</c:f>
              <c:numCache>
                <c:formatCode>General</c:formatCode>
                <c:ptCount val="4"/>
                <c:pt idx="0">
                  <c:v>0.13470782351416027</c:v>
                </c:pt>
                <c:pt idx="1">
                  <c:v>0.11103908730444068</c:v>
                </c:pt>
                <c:pt idx="2">
                  <c:v>0.11070181749643972</c:v>
                </c:pt>
                <c:pt idx="3">
                  <c:v>0.10804179966644503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29-4321-85BB-EEE9D531A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09872"/>
        <c:axId val="245546784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'AL6 150 bar'!$A$17:$A$20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'AL6 150 bar'!$D$17:$D$20</c:f>
              <c:numCache>
                <c:formatCode>General</c:formatCode>
                <c:ptCount val="4"/>
                <c:pt idx="0">
                  <c:v>0</c:v>
                </c:pt>
                <c:pt idx="1">
                  <c:v>17.570424339334366</c:v>
                </c:pt>
                <c:pt idx="2">
                  <c:v>17.820795698029436</c:v>
                </c:pt>
                <c:pt idx="3">
                  <c:v>19.795452967816786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29-4321-85BB-EEE9D531A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0153616"/>
        <c:axId val="2090151120"/>
      </c:scatterChart>
      <c:valAx>
        <c:axId val="141209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546784"/>
        <c:crosses val="autoZero"/>
        <c:crossBetween val="midCat"/>
      </c:valAx>
      <c:valAx>
        <c:axId val="24554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</a:t>
                </a:r>
                <a:r>
                  <a:rPr lang="en-US" baseline="0"/>
                  <a:t> 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09872"/>
        <c:crosses val="autoZero"/>
        <c:crossBetween val="midCat"/>
      </c:valAx>
      <c:valAx>
        <c:axId val="20901511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153616"/>
        <c:crosses val="max"/>
        <c:crossBetween val="midCat"/>
      </c:valAx>
      <c:valAx>
        <c:axId val="2090153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0151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AL6</a:t>
            </a:r>
            <a:r>
              <a:rPr lang="en-US" baseline="0"/>
              <a:t> Kabs, PRF vs Temperature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'AL6 200 bar'!$A$18:$A$21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'AL6 200 bar'!$B$18:$B$21</c:f>
              <c:numCache>
                <c:formatCode>General</c:formatCode>
                <c:ptCount val="4"/>
                <c:pt idx="0">
                  <c:v>0.12244688888707217</c:v>
                </c:pt>
                <c:pt idx="1">
                  <c:v>0.11103908730444068</c:v>
                </c:pt>
                <c:pt idx="2">
                  <c:v>0.10607903311858696</c:v>
                </c:pt>
                <c:pt idx="3">
                  <c:v>0.10233948269455265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62-4B9F-A456-4667FB09B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44592"/>
        <c:axId val="1887750560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'AL6 200 bar'!$A$18:$A$21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'AL6 200 bar'!$D$18:$D$21</c:f>
              <c:numCache>
                <c:formatCode>General</c:formatCode>
                <c:ptCount val="4"/>
                <c:pt idx="0">
                  <c:v>9.1018727103101433</c:v>
                </c:pt>
                <c:pt idx="1">
                  <c:v>17.570424339334366</c:v>
                </c:pt>
                <c:pt idx="2">
                  <c:v>21.252507574338399</c:v>
                </c:pt>
                <c:pt idx="3">
                  <c:v>24.028553038127821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62-4B9F-A456-4667FB09B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020912"/>
        <c:axId val="2117018832"/>
      </c:scatterChart>
      <c:valAx>
        <c:axId val="5564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750560"/>
        <c:crosses val="autoZero"/>
        <c:crossBetween val="midCat"/>
      </c:valAx>
      <c:valAx>
        <c:axId val="188775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</a:t>
                </a:r>
                <a:r>
                  <a:rPr lang="en-US" baseline="0"/>
                  <a:t> Permeability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44592"/>
        <c:crosses val="autoZero"/>
        <c:crossBetween val="midCat"/>
      </c:valAx>
      <c:valAx>
        <c:axId val="21170188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020912"/>
        <c:crosses val="max"/>
        <c:crossBetween val="midCat"/>
      </c:valAx>
      <c:valAx>
        <c:axId val="2117020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701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20 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final'!$B$3:$B$5</c:f>
              <c:numCache>
                <c:formatCode>General</c:formatCode>
                <c:ptCount val="3"/>
                <c:pt idx="0">
                  <c:v>0.13470782351416</c:v>
                </c:pt>
                <c:pt idx="1">
                  <c:v>0.13470782351416027</c:v>
                </c:pt>
                <c:pt idx="2">
                  <c:v>0.12244688888707217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25-45F0-A6D4-3CBF3F8A9ECC}"/>
            </c:ext>
          </c:extLst>
        </c:ser>
        <c:ser>
          <c:idx val="1"/>
          <c:order val="1"/>
          <c:tx>
            <c:v>40 C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final'!$D$3:$D$5</c:f>
              <c:numCache>
                <c:formatCode>General</c:formatCode>
                <c:ptCount val="3"/>
                <c:pt idx="0">
                  <c:v>0.11103908730444068</c:v>
                </c:pt>
                <c:pt idx="1">
                  <c:v>0.11103908730444068</c:v>
                </c:pt>
                <c:pt idx="2">
                  <c:v>0.11103908730444068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25-45F0-A6D4-3CBF3F8A9ECC}"/>
            </c:ext>
          </c:extLst>
        </c:ser>
        <c:ser>
          <c:idx val="2"/>
          <c:order val="2"/>
          <c:tx>
            <c:v>60 C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final'!$F$3:$F$5</c:f>
              <c:numCache>
                <c:formatCode>General</c:formatCode>
                <c:ptCount val="3"/>
                <c:pt idx="0">
                  <c:v>0.11070181749643972</c:v>
                </c:pt>
                <c:pt idx="1">
                  <c:v>0.11070181749643972</c:v>
                </c:pt>
                <c:pt idx="2">
                  <c:v>0.10607903311858696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25-45F0-A6D4-3CBF3F8A9ECC}"/>
            </c:ext>
          </c:extLst>
        </c:ser>
        <c:ser>
          <c:idx val="3"/>
          <c:order val="3"/>
          <c:tx>
            <c:v>80 C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final'!$H$3:$H$5</c:f>
              <c:numCache>
                <c:formatCode>General</c:formatCode>
                <c:ptCount val="3"/>
                <c:pt idx="0">
                  <c:v>0.10804179966644503</c:v>
                </c:pt>
                <c:pt idx="1">
                  <c:v>0.10804179966644503</c:v>
                </c:pt>
                <c:pt idx="2">
                  <c:v>0.10233948269455265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25-45F0-A6D4-3CBF3F8A9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262768"/>
        <c:axId val="332395072"/>
      </c:scatterChart>
      <c:valAx>
        <c:axId val="2031262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Confinement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395072"/>
        <c:crosses val="autoZero"/>
        <c:crossBetween val="midCat"/>
      </c:valAx>
      <c:valAx>
        <c:axId val="33239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 (mD)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262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73229194492853"/>
          <c:y val="0.14421080506699116"/>
          <c:w val="0.83975720724731706"/>
          <c:h val="0.671952212869943"/>
        </c:manualLayout>
      </c:layout>
      <c:scatterChart>
        <c:scatterStyle val="lineMarker"/>
        <c:varyColors val="0"/>
        <c:ser>
          <c:idx val="0"/>
          <c:order val="0"/>
          <c:tx>
            <c:v>100 bar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('Al6 final'!$C$1,'Al6 final'!$E$1,'Al6 final'!$G$1,'Al6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('Al6 final'!$C$3,'Al6 final'!$E$3,'Al6 final'!$G$3,'Al6 final'!$I$3)</c:f>
              <c:numCache>
                <c:formatCode>General</c:formatCode>
                <c:ptCount val="4"/>
                <c:pt idx="0">
                  <c:v>0</c:v>
                </c:pt>
                <c:pt idx="1">
                  <c:v>17.570424339334366</c:v>
                </c:pt>
                <c:pt idx="2">
                  <c:v>17.820795698029436</c:v>
                </c:pt>
                <c:pt idx="3">
                  <c:v>19.795452967816786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04-4398-A3C2-0A52F5E28B6C}"/>
            </c:ext>
          </c:extLst>
        </c:ser>
        <c:ser>
          <c:idx val="1"/>
          <c:order val="1"/>
          <c:tx>
            <c:v>150 bar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('Al6 final'!$C$1,'Al6 final'!$E$1,'Al6 final'!$G$1,'Al6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('Al6 final'!$C$4,'Al6 final'!$E$4,'Al6 final'!$G$4,'Al6 final'!$I$4)</c:f>
              <c:numCache>
                <c:formatCode>General</c:formatCode>
                <c:ptCount val="4"/>
                <c:pt idx="0">
                  <c:v>0</c:v>
                </c:pt>
                <c:pt idx="1">
                  <c:v>17.570424339334366</c:v>
                </c:pt>
                <c:pt idx="2">
                  <c:v>17.820795698029436</c:v>
                </c:pt>
                <c:pt idx="3">
                  <c:v>19.795452967816786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04-4398-A3C2-0A52F5E28B6C}"/>
            </c:ext>
          </c:extLst>
        </c:ser>
        <c:ser>
          <c:idx val="2"/>
          <c:order val="2"/>
          <c:tx>
            <c:v>200 bar</c:v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('Al6 final'!$C$1,'Al6 final'!$E$1,'Al6 final'!$G$1,'Al6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('Al6 final'!$C$5,'Al6 final'!$E$5,'Al6 final'!$G$5,'Al6 final'!$I$5)</c:f>
              <c:numCache>
                <c:formatCode>General</c:formatCode>
                <c:ptCount val="4"/>
                <c:pt idx="0">
                  <c:v>9.1018727103101433</c:v>
                </c:pt>
                <c:pt idx="1">
                  <c:v>17.570424339334366</c:v>
                </c:pt>
                <c:pt idx="2">
                  <c:v>21.252507574338399</c:v>
                </c:pt>
                <c:pt idx="3">
                  <c:v>24.028553038127821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04-4398-A3C2-0A52F5E28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580496"/>
        <c:axId val="341065440"/>
      </c:scatterChart>
      <c:valAx>
        <c:axId val="33858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065440"/>
        <c:crosses val="autoZero"/>
        <c:crossBetween val="midCat"/>
      </c:valAx>
      <c:valAx>
        <c:axId val="34106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580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20 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final'!$C$3:$C$5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9.1018727103101433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08-4823-80E9-1C223E413A53}"/>
            </c:ext>
          </c:extLst>
        </c:ser>
        <c:ser>
          <c:idx val="1"/>
          <c:order val="1"/>
          <c:tx>
            <c:v>40 C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final'!$E$3:$E$5</c:f>
              <c:numCache>
                <c:formatCode>General</c:formatCode>
                <c:ptCount val="3"/>
                <c:pt idx="0">
                  <c:v>17.570424339334366</c:v>
                </c:pt>
                <c:pt idx="1">
                  <c:v>17.570424339334366</c:v>
                </c:pt>
                <c:pt idx="2">
                  <c:v>17.570424339334366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08-4823-80E9-1C223E413A53}"/>
            </c:ext>
          </c:extLst>
        </c:ser>
        <c:ser>
          <c:idx val="2"/>
          <c:order val="2"/>
          <c:tx>
            <c:v>60 C</c:v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final'!$G$3:$G$5</c:f>
              <c:numCache>
                <c:formatCode>General</c:formatCode>
                <c:ptCount val="3"/>
                <c:pt idx="0">
                  <c:v>17.820795698029436</c:v>
                </c:pt>
                <c:pt idx="1">
                  <c:v>17.820795698029436</c:v>
                </c:pt>
                <c:pt idx="2">
                  <c:v>21.252507574338399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08-4823-80E9-1C223E413A53}"/>
            </c:ext>
          </c:extLst>
        </c:ser>
        <c:ser>
          <c:idx val="3"/>
          <c:order val="3"/>
          <c:tx>
            <c:v>80 C</c:v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'Al6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'Al6 final'!$I$3:$I$5</c:f>
              <c:numCache>
                <c:formatCode>General</c:formatCode>
                <c:ptCount val="3"/>
                <c:pt idx="0">
                  <c:v>19.795452967816786</c:v>
                </c:pt>
                <c:pt idx="1">
                  <c:v>19.795452967816786</c:v>
                </c:pt>
                <c:pt idx="2">
                  <c:v>24.028553038127821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808-4823-80E9-1C223E413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282144"/>
        <c:axId val="341281312"/>
      </c:scatterChart>
      <c:valAx>
        <c:axId val="34128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Confinement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281312"/>
        <c:crosses val="autoZero"/>
        <c:crossBetween val="midCat"/>
      </c:valAx>
      <c:valAx>
        <c:axId val="34128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282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20 C Average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 in 1 perm vs pres'!$M$7:$O$7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perm vs pres'!$M$10:$O$10</c:f>
              <c:numCache>
                <c:formatCode>General</c:formatCode>
                <c:ptCount val="3"/>
                <c:pt idx="0">
                  <c:v>0.16456516367705323</c:v>
                </c:pt>
                <c:pt idx="1">
                  <c:v>0.14977411609205651</c:v>
                </c:pt>
                <c:pt idx="2">
                  <c:v>0.14228763874250563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18-438F-9890-D5500452468E}"/>
            </c:ext>
          </c:extLst>
        </c:ser>
        <c:ser>
          <c:idx val="1"/>
          <c:order val="1"/>
          <c:tx>
            <c:v>40 C Average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 in 1 perm vs pres'!$S$7:$U$7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perm vs pres'!$S$10:$U$10</c:f>
              <c:numCache>
                <c:formatCode>General</c:formatCode>
                <c:ptCount val="3"/>
                <c:pt idx="0">
                  <c:v>0.14804474637049123</c:v>
                </c:pt>
                <c:pt idx="1">
                  <c:v>0.13318954831495947</c:v>
                </c:pt>
                <c:pt idx="2">
                  <c:v>0.13318954831495947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18-438F-9890-D5500452468E}"/>
            </c:ext>
          </c:extLst>
        </c:ser>
        <c:ser>
          <c:idx val="3"/>
          <c:order val="2"/>
          <c:tx>
            <c:v>60 C Average</c:v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'3 in 1 perm vs pres'!$Y$7:$AA$7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perm vs pres'!$Y$10:$AA$10</c:f>
              <c:numCache>
                <c:formatCode>General</c:formatCode>
                <c:ptCount val="3"/>
                <c:pt idx="0">
                  <c:v>0.13285783949894636</c:v>
                </c:pt>
                <c:pt idx="1">
                  <c:v>0.12525072524518036</c:v>
                </c:pt>
                <c:pt idx="2">
                  <c:v>0.1237097971192294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18-438F-9890-D5500452468E}"/>
            </c:ext>
          </c:extLst>
        </c:ser>
        <c:ser>
          <c:idx val="2"/>
          <c:order val="3"/>
          <c:tx>
            <c:v>80 C Average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plus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'3 in 1 perm vs pres'!$AE$7:$AG$7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perm vs pres'!$AE$10:$AG$10</c:f>
              <c:numCache>
                <c:formatCode>General</c:formatCode>
                <c:ptCount val="3"/>
                <c:pt idx="0">
                  <c:v>0.12241373888312683</c:v>
                </c:pt>
                <c:pt idx="1">
                  <c:v>0.12066271357244669</c:v>
                </c:pt>
                <c:pt idx="2">
                  <c:v>0.11876194124848256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18-438F-9890-D55004524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877759"/>
        <c:axId val="1952969119"/>
      </c:scatterChart>
      <c:valAx>
        <c:axId val="2005877759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Confinement</a:t>
                </a:r>
                <a:r>
                  <a:rPr lang="en-US" baseline="0"/>
                  <a:t> p</a:t>
                </a:r>
                <a:r>
                  <a:rPr lang="en-US"/>
                  <a:t>ressure</a:t>
                </a:r>
                <a:r>
                  <a:rPr lang="en-US" baseline="0"/>
                  <a:t> ( bars)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2969119"/>
        <c:crosses val="autoZero"/>
        <c:crossBetween val="midCat"/>
      </c:valAx>
      <c:valAx>
        <c:axId val="195296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</a:t>
                </a:r>
                <a:r>
                  <a:rPr lang="en-US" baseline="0"/>
                  <a:t>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5877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AL4  Kabs, PRF vs Temperature (150bar)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'AL4 150bar'!$A$27:$A$30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'AL4 150bar'!$B$27:$B$30</c:f>
              <c:numCache>
                <c:formatCode>General</c:formatCode>
                <c:ptCount val="4"/>
                <c:pt idx="0">
                  <c:v>0.19236768579407054</c:v>
                </c:pt>
                <c:pt idx="1">
                  <c:v>0.17767188254367175</c:v>
                </c:pt>
                <c:pt idx="2">
                  <c:v>0.1591446337459112</c:v>
                </c:pt>
                <c:pt idx="3">
                  <c:v>0.15689624540021455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7C-4345-8D94-61CE78105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9568"/>
        <c:axId val="143931232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'AL4 150bar'!$A$27:$A$30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'AL4 150bar'!$D$27:$D$30</c:f>
              <c:numCache>
                <c:formatCode>General</c:formatCode>
                <c:ptCount val="4"/>
                <c:pt idx="0">
                  <c:v>14.312806383511646</c:v>
                </c:pt>
                <c:pt idx="1">
                  <c:v>20.8588233679586</c:v>
                </c:pt>
                <c:pt idx="2">
                  <c:v>29.111498178498387</c:v>
                </c:pt>
                <c:pt idx="3">
                  <c:v>30.113007796433934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7C-4345-8D94-61CE78105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78544"/>
        <c:axId val="139578128"/>
      </c:scatterChart>
      <c:valAx>
        <c:axId val="143929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1232"/>
        <c:crosses val="autoZero"/>
        <c:crossBetween val="midCat"/>
      </c:valAx>
      <c:valAx>
        <c:axId val="14393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</a:t>
                </a:r>
                <a:r>
                  <a:rPr lang="en-US" baseline="0"/>
                  <a:t> permeability (mD)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692889561270801E-2"/>
              <c:y val="0.22066528732476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9568"/>
        <c:crosses val="autoZero"/>
        <c:crossBetween val="midCat"/>
      </c:valAx>
      <c:valAx>
        <c:axId val="1395781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578544"/>
        <c:crosses val="max"/>
        <c:crossBetween val="midCat"/>
      </c:valAx>
      <c:valAx>
        <c:axId val="139578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578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tockChart>
        <c:ser>
          <c:idx val="0"/>
          <c:order val="0"/>
          <c:tx>
            <c:v>20 C min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 in 1 perm vs pres'!$M$7:$O$7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cat>
          <c:val>
            <c:numRef>
              <c:f>'3 in 1 perm vs pres'!$M$8:$O$8</c:f>
              <c:numCache>
                <c:formatCode>General</c:formatCode>
                <c:ptCount val="3"/>
                <c:pt idx="0">
                  <c:v>0.13448774206133135</c:v>
                </c:pt>
                <c:pt idx="1">
                  <c:v>0.12224683896793873</c:v>
                </c:pt>
                <c:pt idx="2">
                  <c:v>0.11204834154637418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E5-44A0-8391-4F8F6AA8ED87}"/>
            </c:ext>
          </c:extLst>
        </c:ser>
        <c:ser>
          <c:idx val="1"/>
          <c:order val="1"/>
          <c:tx>
            <c:v>20 C max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'3 in 1 perm vs pres'!$M$7:$O$7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cat>
          <c:val>
            <c:numRef>
              <c:f>'3 in 1 perm vs pres'!$M$9:$O$9</c:f>
              <c:numCache>
                <c:formatCode>General</c:formatCode>
                <c:ptCount val="3"/>
                <c:pt idx="0">
                  <c:v>0.22449992545566833</c:v>
                </c:pt>
                <c:pt idx="1">
                  <c:v>0.19236768579407054</c:v>
                </c:pt>
                <c:pt idx="2">
                  <c:v>0.19236768579407054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E5-44A0-8391-4F8F6AA8ED87}"/>
            </c:ext>
          </c:extLst>
        </c:ser>
        <c:ser>
          <c:idx val="2"/>
          <c:order val="2"/>
          <c:tx>
            <c:v>20 C Average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'3 in 1 perm vs pres'!$M$7:$O$7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cat>
          <c:val>
            <c:numRef>
              <c:f>'3 in 1 perm vs pres'!$M$10:$O$10</c:f>
              <c:numCache>
                <c:formatCode>General</c:formatCode>
                <c:ptCount val="3"/>
                <c:pt idx="0">
                  <c:v>0.16456516367705323</c:v>
                </c:pt>
                <c:pt idx="1">
                  <c:v>0.14977411609205651</c:v>
                </c:pt>
                <c:pt idx="2">
                  <c:v>0.14228763874250563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E5-44A0-8391-4F8F6AA8E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hiLowLines>
        <c:axId val="1937263071"/>
        <c:axId val="1937263903"/>
      </c:stockChart>
      <c:catAx>
        <c:axId val="1937263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</a:t>
                </a:r>
                <a:r>
                  <a:rPr lang="en-US" baseline="0"/>
                  <a:t> (bar)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263903"/>
        <c:crosses val="autoZero"/>
        <c:auto val="1"/>
        <c:lblAlgn val="ctr"/>
        <c:lblOffset val="100"/>
        <c:noMultiLvlLbl val="0"/>
      </c:catAx>
      <c:valAx>
        <c:axId val="193726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Permeability</a:t>
                </a:r>
                <a:r>
                  <a:rPr lang="en-US" baseline="0"/>
                  <a:t>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7263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100 Bar Average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 in 1 prf vs temp'!$M$3:$M$6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'3 in 1 prf vs temp'!$Q$3:$Q$6</c:f>
              <c:numCache>
                <c:formatCode>General</c:formatCode>
                <c:ptCount val="4"/>
                <c:pt idx="0">
                  <c:v>0</c:v>
                </c:pt>
                <c:pt idx="1">
                  <c:v>12.049540427654128</c:v>
                </c:pt>
                <c:pt idx="2">
                  <c:v>19.33979642437389</c:v>
                </c:pt>
                <c:pt idx="3">
                  <c:v>25.135259381382138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69-4E75-9290-6F2F6D8CA436}"/>
            </c:ext>
          </c:extLst>
        </c:ser>
        <c:ser>
          <c:idx val="1"/>
          <c:order val="1"/>
          <c:tx>
            <c:v>150 bar Average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 in 1 prf vs temp'!$T$3:$T$6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'3 in 1 prf vs temp'!$X$3:$X$6</c:f>
              <c:numCache>
                <c:formatCode>General</c:formatCode>
                <c:ptCount val="4"/>
                <c:pt idx="0">
                  <c:v>7.8048930312738518</c:v>
                </c:pt>
                <c:pt idx="1">
                  <c:v>18.66655734887571</c:v>
                </c:pt>
                <c:pt idx="2">
                  <c:v>22.728267150288673</c:v>
                </c:pt>
                <c:pt idx="3">
                  <c:v>25.915226371182186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69-4E75-9290-6F2F6D8CA436}"/>
            </c:ext>
          </c:extLst>
        </c:ser>
        <c:ser>
          <c:idx val="2"/>
          <c:order val="2"/>
          <c:tx>
            <c:v>200 bar Average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 in 1 prf vs temp'!$AA$3:$AA$6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'3 in 1 prf vs temp'!$AE$3:$AE$6</c:f>
              <c:numCache>
                <c:formatCode>General</c:formatCode>
                <c:ptCount val="4"/>
                <c:pt idx="0">
                  <c:v>13.36658962682025</c:v>
                </c:pt>
                <c:pt idx="1">
                  <c:v>18.66655734887571</c:v>
                </c:pt>
                <c:pt idx="2">
                  <c:v>23.872171109058332</c:v>
                </c:pt>
                <c:pt idx="3">
                  <c:v>27.326259727952518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69-4E75-9290-6F2F6D8CA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248207"/>
        <c:axId val="136248623"/>
      </c:scatterChart>
      <c:valAx>
        <c:axId val="136248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48623"/>
        <c:crosses val="autoZero"/>
        <c:crossBetween val="midCat"/>
      </c:valAx>
      <c:valAx>
        <c:axId val="13624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482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20 C Average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 in 1 PRF vs pres'!$L$3:$L$5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PRF vs pres'!$P$3:$P$5</c:f>
              <c:numCache>
                <c:formatCode>General</c:formatCode>
                <c:ptCount val="3"/>
                <c:pt idx="0">
                  <c:v>0</c:v>
                </c:pt>
                <c:pt idx="1">
                  <c:v>7.8048930312738518</c:v>
                </c:pt>
                <c:pt idx="2">
                  <c:v>13.36658962682025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B1-4CA5-92DC-185760AD525C}"/>
            </c:ext>
          </c:extLst>
        </c:ser>
        <c:ser>
          <c:idx val="1"/>
          <c:order val="1"/>
          <c:tx>
            <c:v>40 C Average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 in 1 PRF vs pres'!$S$3:$S$5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PRF vs pres'!$W$3:$W$5</c:f>
              <c:numCache>
                <c:formatCode>General</c:formatCode>
                <c:ptCount val="3"/>
                <c:pt idx="0">
                  <c:v>12.049540427654128</c:v>
                </c:pt>
                <c:pt idx="1">
                  <c:v>18.66655734887571</c:v>
                </c:pt>
                <c:pt idx="2">
                  <c:v>18.66655734887571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B1-4CA5-92DC-185760AD525C}"/>
            </c:ext>
          </c:extLst>
        </c:ser>
        <c:ser>
          <c:idx val="2"/>
          <c:order val="2"/>
          <c:tx>
            <c:v>60 C Average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2"/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'3 in 1 PRF vs pres'!$Z$3:$Z$5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PRF vs pres'!$AD$3:$AD$5</c:f>
              <c:numCache>
                <c:formatCode>General</c:formatCode>
                <c:ptCount val="3"/>
                <c:pt idx="0">
                  <c:v>19.33979642437389</c:v>
                </c:pt>
                <c:pt idx="1">
                  <c:v>22.728267150288673</c:v>
                </c:pt>
                <c:pt idx="2">
                  <c:v>23.872171109058332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B1-4CA5-92DC-185760AD525C}"/>
            </c:ext>
          </c:extLst>
        </c:ser>
        <c:ser>
          <c:idx val="3"/>
          <c:order val="3"/>
          <c:tx>
            <c:v>80 C Average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 in 1 PRF vs pres'!$AG$3:$AG$5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'3 in 1 PRF vs pres'!$AK$3:$AK$5</c:f>
              <c:numCache>
                <c:formatCode>General</c:formatCode>
                <c:ptCount val="3"/>
                <c:pt idx="0">
                  <c:v>25.135259381382138</c:v>
                </c:pt>
                <c:pt idx="1">
                  <c:v>25.915226371182186</c:v>
                </c:pt>
                <c:pt idx="2">
                  <c:v>27.326259727952518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B1-4CA5-92DC-185760AD5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798431"/>
        <c:axId val="1989800095"/>
      </c:scatterChart>
      <c:valAx>
        <c:axId val="1989798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Confinement</a:t>
                </a:r>
                <a:r>
                  <a:rPr lang="en-US" baseline="0"/>
                  <a:t> p</a:t>
                </a:r>
                <a:r>
                  <a:rPr lang="en-US"/>
                  <a:t>ressure (bar)	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800095"/>
        <c:crosses val="autoZero"/>
        <c:crossBetween val="midCat"/>
      </c:valAx>
      <c:valAx>
        <c:axId val="1989800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798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AL4  Kabs, PRF vs Temperature (200bar)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'AL4 200bar'!$A$21:$A$24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'AL4 200bar'!$B$21:$B$24</c:f>
              <c:numCache>
                <c:formatCode>General</c:formatCode>
                <c:ptCount val="4"/>
                <c:pt idx="0">
                  <c:v>0.19236768579407054</c:v>
                </c:pt>
                <c:pt idx="1">
                  <c:v>0.17767188254367175</c:v>
                </c:pt>
                <c:pt idx="2">
                  <c:v>0.1591446337459112</c:v>
                </c:pt>
                <c:pt idx="3">
                  <c:v>0.15689624540021455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F-43A0-A098-C6E333266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44352"/>
        <c:axId val="151944768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'AL4 200bar'!$A$21:$A$24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'AL4 200bar'!$D$21:$D$24</c:f>
              <c:numCache>
                <c:formatCode>General</c:formatCode>
                <c:ptCount val="4"/>
                <c:pt idx="0">
                  <c:v>14.312806383511646</c:v>
                </c:pt>
                <c:pt idx="1">
                  <c:v>20.8588233679586</c:v>
                </c:pt>
                <c:pt idx="2">
                  <c:v>29.111498178498387</c:v>
                </c:pt>
                <c:pt idx="3">
                  <c:v>30.113007796433934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9F-43A0-A098-C6E333266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56864"/>
        <c:axId val="144957696"/>
      </c:scatterChart>
      <c:valAx>
        <c:axId val="15194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44768"/>
        <c:crosses val="autoZero"/>
        <c:crossBetween val="midCat"/>
      </c:valAx>
      <c:valAx>
        <c:axId val="15194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absolute permeability (mD)</a:t>
                </a:r>
                <a:endParaRPr lang="en-US" sz="700">
                  <a:effectLst/>
                </a:endParaRPr>
              </a:p>
            </c:rich>
          </c:tx>
          <c:layout>
            <c:manualLayout>
              <c:xMode val="edge"/>
              <c:yMode val="edge"/>
              <c:x val="2.7247956403269755E-2"/>
              <c:y val="0.20063598986542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44352"/>
        <c:crosses val="autoZero"/>
        <c:crossBetween val="midCat"/>
      </c:valAx>
      <c:valAx>
        <c:axId val="14495769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56864"/>
        <c:crosses val="max"/>
        <c:crossBetween val="midCat"/>
      </c:valAx>
      <c:valAx>
        <c:axId val="144956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957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100 bar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('AL4 final'!$C$1,'AL4 final'!$E$1,'AL4 final'!$G$1,'AL4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('AL4 final'!$C$3,'AL4 final'!$E$3,'AL4 final'!$G$3,'AL4 final'!$I$3)</c:f>
              <c:numCache>
                <c:formatCode>General</c:formatCode>
                <c:ptCount val="4"/>
                <c:pt idx="0">
                  <c:v>0</c:v>
                </c:pt>
                <c:pt idx="1">
                  <c:v>1.0077726042936299</c:v>
                </c:pt>
                <c:pt idx="2">
                  <c:v>18.946086000753827</c:v>
                </c:pt>
                <c:pt idx="3">
                  <c:v>27.773106827033601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7B-4388-BF8B-061BA90F545D}"/>
            </c:ext>
          </c:extLst>
        </c:ser>
        <c:ser>
          <c:idx val="1"/>
          <c:order val="1"/>
          <c:tx>
            <c:v>150 bar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('AL4 final'!$C$1,'AL4 final'!$E$1,'AL4 final'!$G$1,'AL4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('AL4 final'!$C$4,'AL4 final'!$E$4,'AL4 final'!$G$4,'AL4 final'!$I$4)</c:f>
              <c:numCache>
                <c:formatCode>General</c:formatCode>
                <c:ptCount val="4"/>
                <c:pt idx="0">
                  <c:v>14.312806383511646</c:v>
                </c:pt>
                <c:pt idx="1">
                  <c:v>20.8588233679586</c:v>
                </c:pt>
                <c:pt idx="2">
                  <c:v>29.111498178498387</c:v>
                </c:pt>
                <c:pt idx="3">
                  <c:v>30.113007796433934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7B-4388-BF8B-061BA90F545D}"/>
            </c:ext>
          </c:extLst>
        </c:ser>
        <c:ser>
          <c:idx val="2"/>
          <c:order val="2"/>
          <c:tx>
            <c:v>200 bar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('AL4 final'!$C$1,'AL4 final'!$E$1,'AL4 final'!$G$1,'AL4 final'!$I$1)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('AL4 final'!$C$5,'AL4 final'!$E$5,'AL4 final'!$G$5,'AL4 final'!$I$5)</c:f>
              <c:numCache>
                <c:formatCode>General</c:formatCode>
                <c:ptCount val="4"/>
                <c:pt idx="0">
                  <c:v>14.312806383511401</c:v>
                </c:pt>
                <c:pt idx="1">
                  <c:v>20.8588233679586</c:v>
                </c:pt>
                <c:pt idx="2">
                  <c:v>29.111498178498401</c:v>
                </c:pt>
                <c:pt idx="3">
                  <c:v>30.113007796433902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7B-4388-BF8B-061BA90F5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294240"/>
        <c:axId val="450289664"/>
      </c:scatterChart>
      <c:valAx>
        <c:axId val="45029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89664"/>
        <c:crosses val="autoZero"/>
        <c:crossBetween val="midCat"/>
      </c:valAx>
      <c:valAx>
        <c:axId val="45028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294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20 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dPt>
            <c:idx val="2"/>
            <c:marker>
              <c:symbol val="diamond"/>
              <c:size val="6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C2A-4821-90C0-F31D585FF612}"/>
              </c:ext>
            </c:extLst>
          </c:dPt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final'!$B$3:$B$5</c:f>
              <c:numCache>
                <c:formatCode>General</c:formatCode>
                <c:ptCount val="3"/>
                <c:pt idx="0">
                  <c:v>0.22449992545566833</c:v>
                </c:pt>
                <c:pt idx="1">
                  <c:v>0.19236768579407054</c:v>
                </c:pt>
                <c:pt idx="2">
                  <c:v>0.19236768579407054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E1-4354-A149-5E9D96E9208E}"/>
            </c:ext>
          </c:extLst>
        </c:ser>
        <c:ser>
          <c:idx val="1"/>
          <c:order val="1"/>
          <c:tx>
            <c:v>40 C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dPt>
            <c:idx val="2"/>
            <c:marker>
              <c:symbol val="square"/>
              <c:size val="6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7C2A-4821-90C0-F31D585FF612}"/>
              </c:ext>
            </c:extLst>
          </c:dPt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final'!$D$3:$D$5</c:f>
              <c:numCache>
                <c:formatCode>General</c:formatCode>
                <c:ptCount val="3"/>
                <c:pt idx="0">
                  <c:v>0.222237476710267</c:v>
                </c:pt>
                <c:pt idx="1">
                  <c:v>0.17767188254367175</c:v>
                </c:pt>
                <c:pt idx="2">
                  <c:v>0.17767188254367175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1-4354-A149-5E9D96E9208E}"/>
            </c:ext>
          </c:extLst>
        </c:ser>
        <c:ser>
          <c:idx val="2"/>
          <c:order val="2"/>
          <c:tx>
            <c:v>60 C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dPt>
            <c:idx val="2"/>
            <c:marker>
              <c:symbol val="triangle"/>
              <c:size val="6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7C2A-4821-90C0-F31D585FF612}"/>
              </c:ext>
            </c:extLst>
          </c:dPt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final'!$F$3:$F$5</c:f>
              <c:numCache>
                <c:formatCode>General</c:formatCode>
                <c:ptCount val="3"/>
                <c:pt idx="0">
                  <c:v>0.18196597650720917</c:v>
                </c:pt>
                <c:pt idx="1">
                  <c:v>0.1591446337459112</c:v>
                </c:pt>
                <c:pt idx="2">
                  <c:v>0.15914463374591101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E1-4354-A149-5E9D96E9208E}"/>
            </c:ext>
          </c:extLst>
        </c:ser>
        <c:ser>
          <c:idx val="3"/>
          <c:order val="3"/>
          <c:tx>
            <c:v>80 C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dPt>
            <c:idx val="2"/>
            <c:marker>
              <c:symbol val="x"/>
              <c:size val="6"/>
              <c:spPr>
                <a:noFill/>
                <a:ln w="9525">
                  <a:solidFill>
                    <a:schemeClr val="accent4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7C2A-4821-90C0-F31D585FF612}"/>
              </c:ext>
            </c:extLst>
          </c:dPt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final'!$H$3:$H$5</c:f>
              <c:numCache>
                <c:formatCode>General</c:formatCode>
                <c:ptCount val="3"/>
                <c:pt idx="0">
                  <c:v>0.16214932133225499</c:v>
                </c:pt>
                <c:pt idx="1">
                  <c:v>0.15689624540021455</c:v>
                </c:pt>
                <c:pt idx="2">
                  <c:v>0.15689624540021455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E1-4354-A149-5E9D96E92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854064"/>
        <c:axId val="579839504"/>
      </c:scatterChart>
      <c:valAx>
        <c:axId val="57985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Confinement 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839504"/>
        <c:crosses val="autoZero"/>
        <c:crossBetween val="midCat"/>
      </c:valAx>
      <c:valAx>
        <c:axId val="57983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 (mD)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854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20 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final'!$C$3:$C$5</c:f>
              <c:numCache>
                <c:formatCode>General</c:formatCode>
                <c:ptCount val="3"/>
                <c:pt idx="0">
                  <c:v>0</c:v>
                </c:pt>
                <c:pt idx="1">
                  <c:v>14.312806383511646</c:v>
                </c:pt>
                <c:pt idx="2">
                  <c:v>14.312806383511401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B2-4C17-977A-72FE7FB751B5}"/>
            </c:ext>
          </c:extLst>
        </c:ser>
        <c:ser>
          <c:idx val="1"/>
          <c:order val="1"/>
          <c:tx>
            <c:v>40 C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final'!$E$3:$E$5</c:f>
              <c:numCache>
                <c:formatCode>General</c:formatCode>
                <c:ptCount val="3"/>
                <c:pt idx="0">
                  <c:v>1.0077726042936299</c:v>
                </c:pt>
                <c:pt idx="1">
                  <c:v>20.8588233679586</c:v>
                </c:pt>
                <c:pt idx="2">
                  <c:v>20.8588233679586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B2-4C17-977A-72FE7FB751B5}"/>
            </c:ext>
          </c:extLst>
        </c:ser>
        <c:ser>
          <c:idx val="3"/>
          <c:order val="2"/>
          <c:tx>
            <c:v>60 C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final'!$G$3:$G$5</c:f>
              <c:numCache>
                <c:formatCode>General</c:formatCode>
                <c:ptCount val="3"/>
                <c:pt idx="0">
                  <c:v>18.946086000753827</c:v>
                </c:pt>
                <c:pt idx="1">
                  <c:v>29.111498178498387</c:v>
                </c:pt>
                <c:pt idx="2">
                  <c:v>29.111498178498401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BB2-4C17-977A-72FE7FB751B5}"/>
            </c:ext>
          </c:extLst>
        </c:ser>
        <c:ser>
          <c:idx val="2"/>
          <c:order val="3"/>
          <c:tx>
            <c:v>80 C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'AL4 final'!$A$3:$A$5</c:f>
              <c:numCache>
                <c:formatCode>General</c:formatCode>
                <c:ptCount val="3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</c:numCache>
            </c:numRef>
          </c:xVal>
          <c:yVal>
            <c:numRef>
              <c:f>'AL4 final'!$I$3:$I$5</c:f>
              <c:numCache>
                <c:formatCode>General</c:formatCode>
                <c:ptCount val="3"/>
                <c:pt idx="0">
                  <c:v>27.773106827033601</c:v>
                </c:pt>
                <c:pt idx="1">
                  <c:v>30.113007796433934</c:v>
                </c:pt>
                <c:pt idx="2">
                  <c:v>30.113007796433902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BB2-4C17-977A-72FE7FB75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455696"/>
        <c:axId val="585461104"/>
      </c:scatterChart>
      <c:valAx>
        <c:axId val="585455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61104"/>
        <c:crosses val="autoZero"/>
        <c:crossBetween val="midCat"/>
      </c:valAx>
      <c:valAx>
        <c:axId val="58546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55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AL5 Kabs, PRF vs Temperature (100) bar)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'AL5 100bar'!$A$20:$A$23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'AL5 100bar'!$B$20:$B$23</c:f>
              <c:numCache>
                <c:formatCode>General</c:formatCode>
                <c:ptCount val="4"/>
                <c:pt idx="0">
                  <c:v>0.13448774206133135</c:v>
                </c:pt>
                <c:pt idx="1">
                  <c:v>0.110857675096766</c:v>
                </c:pt>
                <c:pt idx="2">
                  <c:v>0.1059057244931902</c:v>
                </c:pt>
                <c:pt idx="3">
                  <c:v>9.7050095650680512E-2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46-4DB3-BB7D-C5187C616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98320"/>
        <c:axId val="167801648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'AL5 100bar'!$A$20:$A$23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'AL5 100bar'!$D$20:$D$23</c:f>
              <c:numCache>
                <c:formatCode>General</c:formatCode>
                <c:ptCount val="4"/>
                <c:pt idx="0">
                  <c:v>0</c:v>
                </c:pt>
                <c:pt idx="1">
                  <c:v>17.570424339334334</c:v>
                </c:pt>
                <c:pt idx="2">
                  <c:v>21.252507574338409</c:v>
                </c:pt>
                <c:pt idx="3">
                  <c:v>27.837218349296023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46-4DB3-BB7D-C5187C616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705184"/>
        <c:axId val="2089701856"/>
      </c:scatterChart>
      <c:valAx>
        <c:axId val="16779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(C)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01648"/>
        <c:crosses val="autoZero"/>
        <c:crossBetween val="midCat"/>
      </c:valAx>
      <c:valAx>
        <c:axId val="16780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</a:t>
                </a:r>
                <a:r>
                  <a:rPr lang="en-US" baseline="0"/>
                  <a:t>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98320"/>
        <c:crosses val="autoZero"/>
        <c:crossBetween val="midCat"/>
      </c:valAx>
      <c:valAx>
        <c:axId val="208970185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705184"/>
        <c:crosses val="max"/>
        <c:crossBetween val="midCat"/>
      </c:valAx>
      <c:valAx>
        <c:axId val="2089705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9701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AL5</a:t>
            </a:r>
            <a:r>
              <a:rPr lang="en-US" baseline="0"/>
              <a:t> </a:t>
            </a:r>
            <a:r>
              <a:rPr lang="en-US"/>
              <a:t>Kabs</a:t>
            </a:r>
            <a:r>
              <a:rPr lang="en-US" baseline="0"/>
              <a:t>, PRF vs Temperature (150 bar)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'AL5 150bar'!$A$20:$A$23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'AL5 150bar'!$B$20:$B$23</c:f>
              <c:numCache>
                <c:formatCode>General</c:formatCode>
                <c:ptCount val="4"/>
                <c:pt idx="0">
                  <c:v>0.12224683896793873</c:v>
                </c:pt>
                <c:pt idx="1">
                  <c:v>0.11085767509676595</c:v>
                </c:pt>
                <c:pt idx="2">
                  <c:v>0.1059057244931902</c:v>
                </c:pt>
                <c:pt idx="3">
                  <c:v>9.7050095650680512E-2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EB-4AB2-B7BD-0ADD49169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825376"/>
        <c:axId val="2029059680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'AL5 150bar'!$A$20:$A$23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'AL5 150bar'!$D$20:$D$23</c:f>
              <c:numCache>
                <c:formatCode>General</c:formatCode>
                <c:ptCount val="4"/>
                <c:pt idx="0">
                  <c:v>9.1018727103099106</c:v>
                </c:pt>
                <c:pt idx="1">
                  <c:v>17.570424339334156</c:v>
                </c:pt>
                <c:pt idx="2">
                  <c:v>21.252507574338196</c:v>
                </c:pt>
                <c:pt idx="3">
                  <c:v>27.837218349295835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EB-4AB2-B7BD-0ADD49169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267632"/>
        <c:axId val="2033279280"/>
      </c:scatterChart>
      <c:valAx>
        <c:axId val="203982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059680"/>
        <c:crosses val="autoZero"/>
        <c:crossBetween val="midCat"/>
      </c:valAx>
      <c:valAx>
        <c:axId val="202905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</a:t>
                </a:r>
                <a:r>
                  <a:rPr lang="en-US" baseline="0"/>
                  <a:t> Permeability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825376"/>
        <c:crosses val="autoZero"/>
        <c:crossBetween val="midCat"/>
      </c:valAx>
      <c:valAx>
        <c:axId val="20332792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3267632"/>
        <c:crosses val="max"/>
        <c:crossBetween val="midCat"/>
      </c:valAx>
      <c:valAx>
        <c:axId val="2033267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33279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  <a:r>
              <a:rPr lang="en-US" sz="1800" b="0" i="0" baseline="0">
                <a:effectLst/>
              </a:rPr>
              <a:t>AL5 Kabs, PRF vs Temperature (200 bar)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Absolute Permeability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'AL5 200bar'!$A$20:$A$23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'AL5 200bar'!$B$20:$B$23</c:f>
              <c:numCache>
                <c:formatCode>General</c:formatCode>
                <c:ptCount val="4"/>
                <c:pt idx="0">
                  <c:v>0.11204834154637418</c:v>
                </c:pt>
                <c:pt idx="1">
                  <c:v>0.11085767509676595</c:v>
                </c:pt>
                <c:pt idx="2">
                  <c:v>0.1059057244931902</c:v>
                </c:pt>
                <c:pt idx="3">
                  <c:v>9.7050095650680512E-2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6F-4B97-8101-ABC020ADE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12048"/>
        <c:axId val="150510384"/>
      </c:scatterChart>
      <c:scatterChart>
        <c:scatterStyle val="lineMarker"/>
        <c:varyColors val="0"/>
        <c:ser>
          <c:idx val="1"/>
          <c:order val="1"/>
          <c:tx>
            <c:v>PRF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'AL5 200bar'!$A$20:$A$23</c:f>
              <c:numCache>
                <c:formatCode>General</c:formatCode>
                <c:ptCount val="4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</c:numCache>
            </c:numRef>
          </c:xVal>
          <c:yVal>
            <c:numRef>
              <c:f>'AL5 200bar'!$D$20:$D$23</c:f>
              <c:numCache>
                <c:formatCode>General</c:formatCode>
                <c:ptCount val="4"/>
                <c:pt idx="0">
                  <c:v>16.685089786639207</c:v>
                </c:pt>
                <c:pt idx="1">
                  <c:v>17.570424339334156</c:v>
                </c:pt>
                <c:pt idx="2">
                  <c:v>21.252507574338196</c:v>
                </c:pt>
                <c:pt idx="3">
                  <c:v>27.837218349295835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6F-4B97-8101-ABC020ADE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516624"/>
        <c:axId val="150514544"/>
      </c:scatterChart>
      <c:valAx>
        <c:axId val="15051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10384"/>
        <c:crosses val="autoZero"/>
        <c:crossBetween val="midCat"/>
      </c:valAx>
      <c:valAx>
        <c:axId val="15051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Absolute permeability</a:t>
                </a:r>
                <a:r>
                  <a:rPr lang="en-US" baseline="0"/>
                  <a:t> (mD)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12048"/>
        <c:crosses val="autoZero"/>
        <c:crossBetween val="midCat"/>
      </c:valAx>
      <c:valAx>
        <c:axId val="15051454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PRF(%)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516624"/>
        <c:crosses val="max"/>
        <c:crossBetween val="midCat"/>
      </c:valAx>
      <c:valAx>
        <c:axId val="150516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0514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548640</xdr:colOff>
      <xdr:row>11</xdr:row>
      <xdr:rowOff>83820</xdr:rowOff>
    </xdr:from>
    <xdr:to>
      <xdr:col>18</xdr:col>
      <xdr:colOff>5478</xdr:colOff>
      <xdr:row>15</xdr:row>
      <xdr:rowOff>76110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EDA2A8D-945A-4697-886D-7E89FBDF9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36480" y="2095500"/>
          <a:ext cx="1895238" cy="723810"/>
        </a:xfrm>
        <a:prstGeom prst="rect">
          <a:avLst/>
        </a:prstGeom>
      </xdr:spPr>
    </xdr:pic>
    <xdr:clientData/>
  </xdr:twoCellAnchor>
  <xdr:twoCellAnchor>
    <xdr:from>
      <xdr:col>5</xdr:col>
      <xdr:colOff>510540</xdr:colOff>
      <xdr:row>16</xdr:row>
      <xdr:rowOff>156210</xdr:rowOff>
    </xdr:from>
    <xdr:to>
      <xdr:col>12</xdr:col>
      <xdr:colOff>601980</xdr:colOff>
      <xdr:row>31</xdr:row>
      <xdr:rowOff>156210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FF2C455-7B8C-4A0D-A675-3B29B91CCF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403860</xdr:colOff>
      <xdr:row>18</xdr:row>
      <xdr:rowOff>156210</xdr:rowOff>
    </xdr:from>
    <xdr:to>
      <xdr:col>17</xdr:col>
      <xdr:colOff>236220</xdr:colOff>
      <xdr:row>39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FDB61E-E0D1-413B-9852-E9FDC7A02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60960</xdr:colOff>
      <xdr:row>13</xdr:row>
      <xdr:rowOff>87630</xdr:rowOff>
    </xdr:from>
    <xdr:to>
      <xdr:col>21</xdr:col>
      <xdr:colOff>365760</xdr:colOff>
      <xdr:row>28</xdr:row>
      <xdr:rowOff>87630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B825F3E-ED40-4A20-9A83-18BB031EFC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72390</xdr:rowOff>
    </xdr:from>
    <xdr:to>
      <xdr:col>7</xdr:col>
      <xdr:colOff>396240</xdr:colOff>
      <xdr:row>23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340641-38BA-405D-ABE8-B3DB95CE87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7</xdr:row>
      <xdr:rowOff>95250</xdr:rowOff>
    </xdr:from>
    <xdr:to>
      <xdr:col>15</xdr:col>
      <xdr:colOff>259080</xdr:colOff>
      <xdr:row>23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D2251F-C9BE-422E-9AE9-82B2F43E60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342900</xdr:colOff>
      <xdr:row>7</xdr:row>
      <xdr:rowOff>91440</xdr:rowOff>
    </xdr:from>
    <xdr:to>
      <xdr:col>23</xdr:col>
      <xdr:colOff>99060</xdr:colOff>
      <xdr:row>23</xdr:row>
      <xdr:rowOff>72390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3811D69-4274-47A9-8ED7-DE45F457A6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541865</xdr:colOff>
      <xdr:row>11</xdr:row>
      <xdr:rowOff>25399</xdr:rowOff>
    </xdr:from>
    <xdr:to>
      <xdr:col>31</xdr:col>
      <xdr:colOff>135466</xdr:colOff>
      <xdr:row>29</xdr:row>
      <xdr:rowOff>177798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140018-AC79-4B1B-AC2D-D5B562C68A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203200</xdr:colOff>
      <xdr:row>19</xdr:row>
      <xdr:rowOff>143932</xdr:rowOff>
    </xdr:from>
    <xdr:to>
      <xdr:col>18</xdr:col>
      <xdr:colOff>601133</xdr:colOff>
      <xdr:row>41</xdr:row>
      <xdr:rowOff>25398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587B1D-A9D5-437A-8D94-94A96DB1E8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160020</xdr:colOff>
      <xdr:row>6</xdr:row>
      <xdr:rowOff>53340</xdr:rowOff>
    </xdr:from>
    <xdr:to>
      <xdr:col>18</xdr:col>
      <xdr:colOff>251460</xdr:colOff>
      <xdr:row>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FD8DFD-EB82-498F-9AA1-7B30C4D28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129540</xdr:colOff>
      <xdr:row>9</xdr:row>
      <xdr:rowOff>15240</xdr:rowOff>
    </xdr:from>
    <xdr:to>
      <xdr:col>18</xdr:col>
      <xdr:colOff>129540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D68A7A-8A57-40C6-AA18-A149BCFE73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</xdr:colOff>
      <xdr:row>28</xdr:row>
      <xdr:rowOff>118110</xdr:rowOff>
    </xdr:from>
    <xdr:to>
      <xdr:col>13</xdr:col>
      <xdr:colOff>30480</xdr:colOff>
      <xdr:row>45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62B366-E707-4D09-A2EC-8BF93F5E84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579120</xdr:colOff>
      <xdr:row>18</xdr:row>
      <xdr:rowOff>49530</xdr:rowOff>
    </xdr:from>
    <xdr:to>
      <xdr:col>15</xdr:col>
      <xdr:colOff>259080</xdr:colOff>
      <xdr:row>36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FD685D-5847-4AAA-B6D6-340E384F93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350520</xdr:colOff>
      <xdr:row>7</xdr:row>
      <xdr:rowOff>11430</xdr:rowOff>
    </xdr:from>
    <xdr:to>
      <xdr:col>15</xdr:col>
      <xdr:colOff>365760</xdr:colOff>
      <xdr:row>22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7A88E9-D52A-4284-87C6-447450E3C3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7</xdr:row>
      <xdr:rowOff>15240</xdr:rowOff>
    </xdr:from>
    <xdr:to>
      <xdr:col>7</xdr:col>
      <xdr:colOff>342900</xdr:colOff>
      <xdr:row>22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EAD471-80D7-4A25-B881-6D044468E7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434340</xdr:colOff>
      <xdr:row>6</xdr:row>
      <xdr:rowOff>179070</xdr:rowOff>
    </xdr:from>
    <xdr:to>
      <xdr:col>23</xdr:col>
      <xdr:colOff>152400</xdr:colOff>
      <xdr:row>22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EB54A3-5031-471E-89DA-C84E9DD99D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167640</xdr:colOff>
      <xdr:row>16</xdr:row>
      <xdr:rowOff>64770</xdr:rowOff>
    </xdr:from>
    <xdr:to>
      <xdr:col>14</xdr:col>
      <xdr:colOff>457200</xdr:colOff>
      <xdr:row>33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992048-222D-4D9F-8229-C7D6627FF1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594360</xdr:colOff>
      <xdr:row>18</xdr:row>
      <xdr:rowOff>57150</xdr:rowOff>
    </xdr:from>
    <xdr:to>
      <xdr:col>12</xdr:col>
      <xdr:colOff>472440</xdr:colOff>
      <xdr:row>35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07B392-F40F-4D99-8CD2-365008DDBE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403860</xdr:colOff>
      <xdr:row>19</xdr:row>
      <xdr:rowOff>80010</xdr:rowOff>
    </xdr:from>
    <xdr:to>
      <xdr:col>14</xdr:col>
      <xdr:colOff>419100</xdr:colOff>
      <xdr:row>36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71F1FD-0901-4B80-B648-8F9963EEAE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327660</xdr:colOff>
      <xdr:row>9</xdr:row>
      <xdr:rowOff>95250</xdr:rowOff>
    </xdr:from>
    <xdr:to>
      <xdr:col>15</xdr:col>
      <xdr:colOff>22860</xdr:colOff>
      <xdr:row>24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12CED8-340B-45CA-B63B-CABBBD794E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205740</xdr:colOff>
      <xdr:row>9</xdr:row>
      <xdr:rowOff>99060</xdr:rowOff>
    </xdr:from>
    <xdr:to>
      <xdr:col>7</xdr:col>
      <xdr:colOff>464820</xdr:colOff>
      <xdr:row>24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E8C7FC-E962-4781-BBEE-AB7FFB6D60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106680</xdr:colOff>
      <xdr:row>9</xdr:row>
      <xdr:rowOff>99060</xdr:rowOff>
    </xdr:from>
    <xdr:to>
      <xdr:col>22</xdr:col>
      <xdr:colOff>411480</xdr:colOff>
      <xdr:row>24</xdr:row>
      <xdr:rowOff>99060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7749B1E-E54B-43B2-A698-B28BF4D46E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15</xdr:row>
      <xdr:rowOff>80010</xdr:rowOff>
    </xdr:from>
    <xdr:to>
      <xdr:col>15</xdr:col>
      <xdr:colOff>220980</xdr:colOff>
      <xdr:row>30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7E9316-AC9D-45AD-84A6-14C832363A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opLeftCell="A7" workbookViewId="0">
      <selection sqref="A1:I11"/>
    </sheetView>
  </sheetViews>
  <sheetFormatPr defaultRowHeight="14.4" x14ac:dyDescent="0.3"/>
  <cols>
    <col min="1" max="1" width="12" bestFit="1" customWidth="1"/>
    <col min="5" max="5" width="12" bestFit="1" customWidth="1"/>
    <col min="9" max="9" width="12" bestFit="1" customWidth="1"/>
    <col min="13" max="13" width="12" bestFit="1" customWidth="1"/>
  </cols>
  <sheetData>
    <row r="1" spans="1:14" x14ac:dyDescent="0.3">
      <c r="A1" s="26" t="s">
        <v>33</v>
      </c>
      <c r="B1" s="41" t="s">
        <v>3</v>
      </c>
      <c r="C1" s="42"/>
      <c r="D1" s="43" t="s">
        <v>4</v>
      </c>
      <c r="E1" s="44"/>
      <c r="F1" s="43" t="s">
        <v>5</v>
      </c>
      <c r="G1" s="44"/>
      <c r="H1" s="43" t="s">
        <v>6</v>
      </c>
      <c r="I1" s="44"/>
    </row>
    <row r="2" spans="1:14" x14ac:dyDescent="0.3">
      <c r="A2" s="32" t="s">
        <v>34</v>
      </c>
      <c r="B2" s="1" t="s">
        <v>35</v>
      </c>
      <c r="C2" s="1" t="s">
        <v>2</v>
      </c>
      <c r="D2" s="1" t="s">
        <v>36</v>
      </c>
      <c r="E2" s="1" t="s">
        <v>2</v>
      </c>
      <c r="F2" s="1" t="s">
        <v>36</v>
      </c>
      <c r="G2" s="1" t="s">
        <v>2</v>
      </c>
      <c r="H2" s="1" t="s">
        <v>1</v>
      </c>
      <c r="I2" s="1" t="s">
        <v>2</v>
      </c>
    </row>
    <row r="3" spans="1:14" x14ac:dyDescent="0.3">
      <c r="A3" s="32">
        <v>0</v>
      </c>
      <c r="B3" s="1">
        <v>0</v>
      </c>
      <c r="C3" s="1">
        <v>1</v>
      </c>
      <c r="D3" s="1">
        <v>0</v>
      </c>
      <c r="E3" s="1">
        <v>1</v>
      </c>
      <c r="F3" s="1">
        <v>0</v>
      </c>
      <c r="G3" s="1">
        <v>0</v>
      </c>
      <c r="H3" s="1">
        <v>0</v>
      </c>
      <c r="I3" s="1">
        <v>1</v>
      </c>
    </row>
    <row r="4" spans="1:14" x14ac:dyDescent="0.3">
      <c r="A4" s="32">
        <f>A3+10</f>
        <v>10</v>
      </c>
      <c r="B4" s="1">
        <v>4</v>
      </c>
      <c r="C4" s="1">
        <v>1</v>
      </c>
      <c r="D4" s="1">
        <v>5</v>
      </c>
      <c r="E4" s="1">
        <v>1.3</v>
      </c>
      <c r="F4" s="1">
        <v>4</v>
      </c>
      <c r="G4" s="1">
        <v>1.2</v>
      </c>
      <c r="H4" s="1">
        <v>4</v>
      </c>
      <c r="I4" s="1">
        <v>1.4</v>
      </c>
    </row>
    <row r="5" spans="1:14" x14ac:dyDescent="0.3">
      <c r="A5" s="32">
        <f t="shared" ref="A5:A11" si="0">A4+10</f>
        <v>20</v>
      </c>
      <c r="B5" s="1">
        <v>7</v>
      </c>
      <c r="C5" s="1">
        <v>1</v>
      </c>
      <c r="D5" s="1">
        <v>5</v>
      </c>
      <c r="E5" s="1">
        <v>2</v>
      </c>
      <c r="F5" s="1">
        <v>4.5</v>
      </c>
      <c r="G5" s="1">
        <v>2</v>
      </c>
      <c r="H5" s="1">
        <v>4</v>
      </c>
      <c r="I5" s="1">
        <v>2.4</v>
      </c>
    </row>
    <row r="6" spans="1:14" x14ac:dyDescent="0.3">
      <c r="A6" s="32">
        <f t="shared" si="0"/>
        <v>30</v>
      </c>
      <c r="B6" s="1">
        <v>7</v>
      </c>
      <c r="C6" s="1">
        <v>1</v>
      </c>
      <c r="D6" s="1">
        <v>5</v>
      </c>
      <c r="E6" s="1">
        <v>3</v>
      </c>
      <c r="F6" s="1">
        <v>4.5</v>
      </c>
      <c r="G6" s="1">
        <v>2.8</v>
      </c>
      <c r="H6" s="1">
        <v>4</v>
      </c>
      <c r="I6" s="1">
        <v>3.2</v>
      </c>
    </row>
    <row r="7" spans="1:14" x14ac:dyDescent="0.3">
      <c r="A7" s="32">
        <f t="shared" si="0"/>
        <v>40</v>
      </c>
      <c r="B7" s="1">
        <v>7</v>
      </c>
      <c r="C7" s="1">
        <v>1</v>
      </c>
      <c r="D7" s="1">
        <v>5</v>
      </c>
      <c r="E7" s="1">
        <v>3.8</v>
      </c>
      <c r="F7" s="1">
        <v>4.5</v>
      </c>
      <c r="G7" s="1">
        <v>3.2</v>
      </c>
      <c r="H7" s="1">
        <v>4</v>
      </c>
      <c r="I7" s="1">
        <v>4</v>
      </c>
    </row>
    <row r="8" spans="1:14" x14ac:dyDescent="0.3">
      <c r="A8" s="32">
        <f t="shared" si="0"/>
        <v>50</v>
      </c>
      <c r="B8" s="1">
        <v>7</v>
      </c>
      <c r="C8" s="1">
        <v>1.4</v>
      </c>
      <c r="D8" s="1"/>
      <c r="E8" s="1"/>
      <c r="F8" s="1">
        <v>4.5</v>
      </c>
      <c r="G8" s="1">
        <v>4.2</v>
      </c>
      <c r="H8" s="1"/>
      <c r="I8" s="1"/>
    </row>
    <row r="9" spans="1:14" x14ac:dyDescent="0.3">
      <c r="A9" s="32">
        <f t="shared" si="0"/>
        <v>60</v>
      </c>
      <c r="B9" s="1">
        <v>7</v>
      </c>
      <c r="C9" s="1">
        <v>2.4</v>
      </c>
      <c r="D9" s="1"/>
      <c r="E9" s="1"/>
      <c r="F9" s="1"/>
      <c r="G9" s="1"/>
      <c r="H9" s="1"/>
      <c r="I9" s="1"/>
    </row>
    <row r="10" spans="1:14" x14ac:dyDescent="0.3">
      <c r="A10" s="32">
        <f t="shared" si="0"/>
        <v>70</v>
      </c>
      <c r="B10" s="1">
        <v>7</v>
      </c>
      <c r="C10" s="1">
        <v>3.2</v>
      </c>
      <c r="D10" s="1"/>
      <c r="E10" s="1"/>
      <c r="F10" s="1"/>
      <c r="G10" s="1"/>
      <c r="H10" s="1"/>
      <c r="I10" s="1"/>
    </row>
    <row r="11" spans="1:14" x14ac:dyDescent="0.3">
      <c r="A11" s="32">
        <f t="shared" si="0"/>
        <v>80</v>
      </c>
      <c r="B11" s="1">
        <v>7</v>
      </c>
      <c r="C11" s="1">
        <v>4</v>
      </c>
      <c r="D11" s="1"/>
      <c r="E11" s="1"/>
      <c r="F11" s="1"/>
      <c r="G11" s="1"/>
      <c r="H11" s="1"/>
      <c r="I11" s="1"/>
    </row>
    <row r="12" spans="1:14" x14ac:dyDescent="0.3">
      <c r="A12" t="s">
        <v>9</v>
      </c>
      <c r="E12" t="s">
        <v>9</v>
      </c>
      <c r="I12" t="s">
        <v>9</v>
      </c>
      <c r="M12" t="s">
        <v>9</v>
      </c>
    </row>
    <row r="13" spans="1:14" x14ac:dyDescent="0.3">
      <c r="A13">
        <f>(5*1.074*0.099992*0.000000001)/(60*60*1124.466*598675*0.000001)</f>
        <v>2.2156419980820955E-16</v>
      </c>
      <c r="B13" t="s">
        <v>8</v>
      </c>
      <c r="E13">
        <f>(5*0.708*0.099992*0.000000001)/(60*60*1124.466*398675*0.000001)</f>
        <v>2.1933133650162002E-16</v>
      </c>
      <c r="F13" t="s">
        <v>8</v>
      </c>
      <c r="I13">
        <f>(5*0.507*0.099992*0.000000001)/(60*60*1124.466*348675*0.000001)</f>
        <v>1.7958645596566411E-16</v>
      </c>
      <c r="J13" t="s">
        <v>8</v>
      </c>
      <c r="M13">
        <f>(5*0.387*0.099992*0.000000001)/(60*60*1124.466*298675*0.000001)</f>
        <v>1.6002893790501342E-16</v>
      </c>
      <c r="N13" t="s">
        <v>8</v>
      </c>
    </row>
    <row r="14" spans="1:14" x14ac:dyDescent="0.3">
      <c r="A14">
        <f>A13*1013250000000000</f>
        <v>0.22449992545566833</v>
      </c>
      <c r="B14" t="s">
        <v>7</v>
      </c>
      <c r="E14">
        <f>E13*1013250000000000</f>
        <v>0.22223747671026647</v>
      </c>
      <c r="F14" t="s">
        <v>7</v>
      </c>
      <c r="I14">
        <f>I13*1013250000000000</f>
        <v>0.18196597650720917</v>
      </c>
      <c r="J14" t="s">
        <v>7</v>
      </c>
      <c r="M14">
        <f>M13*1013250000000000</f>
        <v>0.16214932133225485</v>
      </c>
      <c r="N14" t="s">
        <v>7</v>
      </c>
    </row>
    <row r="17" spans="1:4" x14ac:dyDescent="0.3">
      <c r="A17" s="1" t="s">
        <v>10</v>
      </c>
      <c r="B17" s="1" t="s">
        <v>11</v>
      </c>
      <c r="C17" s="1" t="s">
        <v>12</v>
      </c>
      <c r="D17" s="2" t="s">
        <v>13</v>
      </c>
    </row>
    <row r="18" spans="1:4" x14ac:dyDescent="0.3">
      <c r="A18" s="1">
        <v>20</v>
      </c>
      <c r="B18" s="1">
        <f>A14</f>
        <v>0.22449992545566833</v>
      </c>
      <c r="C18" s="1">
        <f>1-(B18/B18)</f>
        <v>0</v>
      </c>
      <c r="D18" s="1">
        <f>C18*100</f>
        <v>0</v>
      </c>
    </row>
    <row r="19" spans="1:4" x14ac:dyDescent="0.3">
      <c r="A19" s="1">
        <v>40</v>
      </c>
      <c r="B19" s="1">
        <f>E14</f>
        <v>0.22223747671026647</v>
      </c>
      <c r="C19" s="1">
        <f>1-(B19/B18)</f>
        <v>1.007772604293633E-2</v>
      </c>
      <c r="D19" s="1">
        <f>C19*100</f>
        <v>1.007772604293633</v>
      </c>
    </row>
    <row r="20" spans="1:4" x14ac:dyDescent="0.3">
      <c r="A20" s="1">
        <v>60</v>
      </c>
      <c r="B20" s="1">
        <f>I14</f>
        <v>0.18196597650720917</v>
      </c>
      <c r="C20" s="1">
        <f>1-(B20/B18)</f>
        <v>0.18946086000753826</v>
      </c>
      <c r="D20" s="1">
        <f t="shared" ref="D20:D21" si="1">C20*100</f>
        <v>18.946086000753827</v>
      </c>
    </row>
    <row r="21" spans="1:4" x14ac:dyDescent="0.3">
      <c r="A21" s="1">
        <v>80</v>
      </c>
      <c r="B21" s="1">
        <v>0.16214932133225485</v>
      </c>
      <c r="C21" s="1">
        <f>1-(B21/B18)</f>
        <v>0.27773106827033567</v>
      </c>
      <c r="D21" s="1">
        <f t="shared" si="1"/>
        <v>27.773106827033565</v>
      </c>
    </row>
    <row r="41" spans="3:3" x14ac:dyDescent="0.3">
      <c r="C41" s="14"/>
    </row>
  </sheetData>
  <mergeCells count="4">
    <mergeCell ref="B1:C1"/>
    <mergeCell ref="D1:E1"/>
    <mergeCell ref="F1:G1"/>
    <mergeCell ref="H1:I1"/>
  </mergeCells>
  <phoneticPr fontId="4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DF56D-BB26-4343-B3DC-FB7FBA8FB6B8}">
  <dimension ref="A1:N20"/>
  <sheetViews>
    <sheetView workbookViewId="0">
      <selection sqref="A1:I8"/>
    </sheetView>
  </sheetViews>
  <sheetFormatPr defaultRowHeight="14.4" x14ac:dyDescent="0.3"/>
  <cols>
    <col min="1" max="1" width="12" bestFit="1" customWidth="1"/>
    <col min="9" max="9" width="12" bestFit="1" customWidth="1"/>
    <col min="13" max="13" width="12" bestFit="1" customWidth="1"/>
  </cols>
  <sheetData>
    <row r="1" spans="1:14" x14ac:dyDescent="0.3">
      <c r="A1" s="26" t="s">
        <v>15</v>
      </c>
      <c r="B1" s="45" t="s">
        <v>3</v>
      </c>
      <c r="C1" s="45"/>
      <c r="D1" s="45" t="s">
        <v>4</v>
      </c>
      <c r="E1" s="45"/>
      <c r="F1" s="45" t="s">
        <v>5</v>
      </c>
      <c r="G1" s="45"/>
      <c r="H1" s="45" t="s">
        <v>6</v>
      </c>
      <c r="I1" s="45"/>
    </row>
    <row r="2" spans="1:14" x14ac:dyDescent="0.3">
      <c r="A2" s="32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4" x14ac:dyDescent="0.3">
      <c r="A3" s="32">
        <v>0</v>
      </c>
      <c r="B3" s="1">
        <v>2</v>
      </c>
      <c r="C3" s="1">
        <v>1</v>
      </c>
      <c r="D3" s="1">
        <v>7</v>
      </c>
      <c r="E3" s="1">
        <v>1.2</v>
      </c>
      <c r="F3" s="1">
        <v>2</v>
      </c>
      <c r="G3" s="1">
        <v>1</v>
      </c>
      <c r="H3" s="1">
        <v>1</v>
      </c>
      <c r="I3" s="1">
        <v>1</v>
      </c>
    </row>
    <row r="4" spans="1:14" x14ac:dyDescent="0.3">
      <c r="A4" s="32">
        <f t="shared" ref="A4:A8" si="0">A3+10</f>
        <v>10</v>
      </c>
      <c r="B4" s="1">
        <v>11</v>
      </c>
      <c r="C4" s="1">
        <v>1.6</v>
      </c>
      <c r="D4" s="1">
        <v>9</v>
      </c>
      <c r="E4" s="1">
        <v>1.8</v>
      </c>
      <c r="F4" s="1">
        <v>4</v>
      </c>
      <c r="G4" s="1">
        <v>1.5</v>
      </c>
      <c r="H4" s="1">
        <v>5</v>
      </c>
      <c r="I4" s="1">
        <v>1.8</v>
      </c>
    </row>
    <row r="5" spans="1:14" x14ac:dyDescent="0.3">
      <c r="A5" s="32">
        <f t="shared" si="0"/>
        <v>20</v>
      </c>
      <c r="B5" s="1">
        <v>11</v>
      </c>
      <c r="C5" s="1">
        <v>2.4</v>
      </c>
      <c r="D5" s="1">
        <v>9</v>
      </c>
      <c r="E5" s="1">
        <v>2.6</v>
      </c>
      <c r="F5" s="1">
        <v>6.5</v>
      </c>
      <c r="G5" s="1">
        <v>2.2999999999999998</v>
      </c>
      <c r="H5" s="1">
        <v>5</v>
      </c>
      <c r="I5" s="1">
        <v>2.6</v>
      </c>
    </row>
    <row r="6" spans="1:14" x14ac:dyDescent="0.3">
      <c r="A6" s="32">
        <f t="shared" si="0"/>
        <v>30</v>
      </c>
      <c r="B6" s="1">
        <v>11</v>
      </c>
      <c r="C6" s="1">
        <v>3.2</v>
      </c>
      <c r="D6" s="1"/>
      <c r="E6" s="1"/>
      <c r="F6" s="1">
        <v>6.5</v>
      </c>
      <c r="G6" s="1">
        <v>3.2</v>
      </c>
      <c r="H6" s="1"/>
      <c r="I6" s="1"/>
    </row>
    <row r="7" spans="1:14" x14ac:dyDescent="0.3">
      <c r="A7" s="32">
        <f t="shared" si="0"/>
        <v>40</v>
      </c>
      <c r="B7" s="1">
        <v>11</v>
      </c>
      <c r="C7" s="1">
        <v>4</v>
      </c>
      <c r="D7" s="1"/>
      <c r="E7" s="1"/>
      <c r="F7" s="1"/>
      <c r="G7" s="1"/>
      <c r="H7" s="1"/>
      <c r="I7" s="1"/>
    </row>
    <row r="8" spans="1:14" x14ac:dyDescent="0.3">
      <c r="A8" s="32">
        <f t="shared" si="0"/>
        <v>50</v>
      </c>
      <c r="B8" s="1">
        <v>11</v>
      </c>
      <c r="C8" s="1">
        <v>5</v>
      </c>
      <c r="D8" s="1"/>
      <c r="E8" s="1"/>
      <c r="F8" s="1"/>
      <c r="G8" s="1"/>
      <c r="H8" s="1"/>
      <c r="I8" s="1"/>
    </row>
    <row r="12" spans="1:14" x14ac:dyDescent="0.3">
      <c r="A12" t="s">
        <v>9</v>
      </c>
      <c r="E12" t="s">
        <v>9</v>
      </c>
      <c r="I12" t="s">
        <v>9</v>
      </c>
      <c r="M12" t="s">
        <v>9</v>
      </c>
    </row>
    <row r="13" spans="1:14" x14ac:dyDescent="0.3">
      <c r="A13">
        <f>(5*1.074*0.100044*0.000000001)/(60*60*1123.99*998675*0.000001)</f>
        <v>1.3294628523479917E-16</v>
      </c>
      <c r="B13" t="s">
        <v>8</v>
      </c>
      <c r="E13">
        <f>(5*0.708*0.100044*0.000000001)/(60*60*1123.99*798675*0.000001)</f>
        <v>1.0958705877566313E-16</v>
      </c>
      <c r="F13" t="s">
        <v>8</v>
      </c>
      <c r="I13">
        <f>(5*0.507*0.100044*0.000000001)/(60*60*1123.99*573675*0.000001)</f>
        <v>1.0925419935498615E-16</v>
      </c>
      <c r="J13" t="s">
        <v>8</v>
      </c>
      <c r="M13">
        <f>(5*0.387*0.100044*0.000000001)/(60*60*1123.99*448675*0.000001)</f>
        <v>1.0662896586868496E-16</v>
      </c>
      <c r="N13" t="s">
        <v>8</v>
      </c>
    </row>
    <row r="14" spans="1:14" x14ac:dyDescent="0.3">
      <c r="A14">
        <f>A13*1013250000000000</f>
        <v>0.13470782351416027</v>
      </c>
      <c r="B14" t="s">
        <v>7</v>
      </c>
      <c r="E14">
        <f>E13*1013250000000000</f>
        <v>0.11103908730444068</v>
      </c>
      <c r="F14" t="s">
        <v>7</v>
      </c>
      <c r="I14">
        <f>I13*1013250000000000</f>
        <v>0.11070181749643972</v>
      </c>
      <c r="J14" t="s">
        <v>7</v>
      </c>
      <c r="M14">
        <f>M13*1013250000000000</f>
        <v>0.10804179966644503</v>
      </c>
      <c r="N14" t="s">
        <v>7</v>
      </c>
    </row>
    <row r="16" spans="1:14" x14ac:dyDescent="0.3">
      <c r="A16" s="1" t="s">
        <v>10</v>
      </c>
      <c r="B16" s="1" t="s">
        <v>11</v>
      </c>
      <c r="C16" s="1" t="s">
        <v>12</v>
      </c>
      <c r="D16" s="2" t="s">
        <v>13</v>
      </c>
    </row>
    <row r="17" spans="1:4" x14ac:dyDescent="0.3">
      <c r="A17" s="1">
        <v>20</v>
      </c>
      <c r="B17" s="1">
        <v>0.13470782351416027</v>
      </c>
      <c r="C17" s="1">
        <f>1-(B17/'AL6 100bar'!A14)</f>
        <v>0</v>
      </c>
      <c r="D17" s="1">
        <f>C17*100</f>
        <v>0</v>
      </c>
    </row>
    <row r="18" spans="1:4" x14ac:dyDescent="0.3">
      <c r="A18" s="1">
        <v>40</v>
      </c>
      <c r="B18" s="1">
        <v>0.11103908730444068</v>
      </c>
      <c r="C18" s="1">
        <f>1-(B18/'AL6 100bar'!A14)</f>
        <v>0.17570424339334367</v>
      </c>
      <c r="D18" s="1">
        <f>C18*100</f>
        <v>17.570424339334366</v>
      </c>
    </row>
    <row r="19" spans="1:4" x14ac:dyDescent="0.3">
      <c r="A19" s="1">
        <v>60</v>
      </c>
      <c r="B19" s="5">
        <v>0.11070181749643972</v>
      </c>
      <c r="C19" s="1">
        <f>1-(B19/'AL6 100bar'!A14)</f>
        <v>0.17820795698029435</v>
      </c>
      <c r="D19" s="1">
        <f>C19*100</f>
        <v>17.820795698029436</v>
      </c>
    </row>
    <row r="20" spans="1:4" x14ac:dyDescent="0.3">
      <c r="A20" s="1">
        <v>80</v>
      </c>
      <c r="B20" s="5">
        <v>0.10804179966644503</v>
      </c>
      <c r="C20" s="1">
        <f>1-(B20/'AL6 100bar'!A14)</f>
        <v>0.19795452967816785</v>
      </c>
      <c r="D20" s="1">
        <f>C20*100</f>
        <v>19.795452967816786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B73E-1C4C-4771-8B94-7B370A2D6A7D}">
  <dimension ref="A1:N21"/>
  <sheetViews>
    <sheetView workbookViewId="0">
      <selection activeCell="K7" sqref="K7"/>
    </sheetView>
  </sheetViews>
  <sheetFormatPr defaultRowHeight="14.4" x14ac:dyDescent="0.3"/>
  <cols>
    <col min="1" max="1" width="12" bestFit="1" customWidth="1"/>
    <col min="5" max="5" width="12" bestFit="1" customWidth="1"/>
    <col min="9" max="9" width="12" bestFit="1" customWidth="1"/>
    <col min="13" max="13" width="12" bestFit="1" customWidth="1"/>
  </cols>
  <sheetData>
    <row r="1" spans="1:14" x14ac:dyDescent="0.3">
      <c r="A1" s="26" t="s">
        <v>15</v>
      </c>
      <c r="B1" s="45" t="s">
        <v>3</v>
      </c>
      <c r="C1" s="45"/>
      <c r="D1" s="45" t="s">
        <v>4</v>
      </c>
      <c r="E1" s="45"/>
      <c r="F1" s="45" t="s">
        <v>5</v>
      </c>
      <c r="G1" s="45"/>
      <c r="H1" s="45" t="s">
        <v>6</v>
      </c>
      <c r="I1" s="45"/>
    </row>
    <row r="2" spans="1:14" x14ac:dyDescent="0.3">
      <c r="A2" s="32" t="s">
        <v>37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4" x14ac:dyDescent="0.3">
      <c r="A3" s="32">
        <v>0</v>
      </c>
      <c r="B3" s="1">
        <v>0</v>
      </c>
      <c r="C3" s="1">
        <v>1</v>
      </c>
      <c r="D3" s="1">
        <v>0</v>
      </c>
      <c r="E3" s="1">
        <v>1</v>
      </c>
      <c r="F3" s="1">
        <v>0</v>
      </c>
      <c r="G3" s="1">
        <v>1</v>
      </c>
      <c r="H3" s="1">
        <v>0</v>
      </c>
      <c r="I3" s="1">
        <v>1</v>
      </c>
    </row>
    <row r="4" spans="1:14" x14ac:dyDescent="0.3">
      <c r="A4" s="32">
        <f>A3+10</f>
        <v>10</v>
      </c>
      <c r="B4" s="1">
        <v>5</v>
      </c>
      <c r="C4" s="1">
        <v>1</v>
      </c>
      <c r="D4" s="1">
        <v>7</v>
      </c>
      <c r="E4" s="1">
        <v>1.2</v>
      </c>
      <c r="F4" s="1">
        <v>7</v>
      </c>
      <c r="G4" s="1">
        <v>1.4</v>
      </c>
      <c r="H4" s="1">
        <v>5.75</v>
      </c>
      <c r="I4" s="1">
        <v>1.3</v>
      </c>
    </row>
    <row r="5" spans="1:14" x14ac:dyDescent="0.3">
      <c r="A5" s="32">
        <f t="shared" ref="A5:A9" si="0">A4+10</f>
        <v>20</v>
      </c>
      <c r="B5" s="1">
        <v>9</v>
      </c>
      <c r="C5" s="1">
        <v>1</v>
      </c>
      <c r="D5" s="1">
        <v>9</v>
      </c>
      <c r="E5" s="1">
        <v>1.8</v>
      </c>
      <c r="F5" s="1">
        <v>7</v>
      </c>
      <c r="G5" s="1">
        <v>2.1</v>
      </c>
      <c r="H5" s="1">
        <v>5.75</v>
      </c>
      <c r="I5" s="1">
        <v>2.2000000000000002</v>
      </c>
    </row>
    <row r="6" spans="1:14" x14ac:dyDescent="0.3">
      <c r="A6" s="32">
        <f t="shared" si="0"/>
        <v>30</v>
      </c>
      <c r="B6" s="1">
        <v>12</v>
      </c>
      <c r="C6" s="1">
        <v>1</v>
      </c>
      <c r="D6" s="1">
        <v>9</v>
      </c>
      <c r="E6" s="1">
        <v>2.2000000000000002</v>
      </c>
      <c r="F6" s="1">
        <v>7</v>
      </c>
      <c r="G6" s="1">
        <v>3</v>
      </c>
      <c r="H6" s="1">
        <v>5.75</v>
      </c>
      <c r="I6" s="1">
        <v>3</v>
      </c>
    </row>
    <row r="7" spans="1:14" x14ac:dyDescent="0.3">
      <c r="A7" s="32">
        <f t="shared" si="0"/>
        <v>40</v>
      </c>
      <c r="B7" s="1">
        <v>12</v>
      </c>
      <c r="C7" s="1">
        <v>1</v>
      </c>
      <c r="D7" s="1">
        <v>9</v>
      </c>
      <c r="E7" s="1">
        <v>3</v>
      </c>
      <c r="F7" s="1"/>
      <c r="G7" s="1"/>
      <c r="H7" s="1"/>
      <c r="I7" s="1"/>
    </row>
    <row r="8" spans="1:14" x14ac:dyDescent="0.3">
      <c r="A8" s="32">
        <f t="shared" si="0"/>
        <v>50</v>
      </c>
      <c r="B8" s="1">
        <v>12</v>
      </c>
      <c r="C8" s="1">
        <v>1.4</v>
      </c>
      <c r="D8" s="1"/>
      <c r="E8" s="1"/>
      <c r="F8" s="1"/>
      <c r="G8" s="1"/>
      <c r="H8" s="1"/>
      <c r="I8" s="1"/>
    </row>
    <row r="9" spans="1:14" x14ac:dyDescent="0.3">
      <c r="A9" s="32">
        <f t="shared" si="0"/>
        <v>60</v>
      </c>
      <c r="B9" s="1">
        <v>12</v>
      </c>
      <c r="C9" s="1">
        <v>2.2000000000000002</v>
      </c>
      <c r="D9" s="1"/>
      <c r="E9" s="1"/>
      <c r="F9" s="1"/>
      <c r="G9" s="1"/>
      <c r="H9" s="1"/>
      <c r="I9" s="1"/>
    </row>
    <row r="12" spans="1:14" x14ac:dyDescent="0.3">
      <c r="A12" t="s">
        <v>9</v>
      </c>
      <c r="E12" t="s">
        <v>9</v>
      </c>
      <c r="I12" t="s">
        <v>9</v>
      </c>
      <c r="M12" t="s">
        <v>9</v>
      </c>
    </row>
    <row r="13" spans="1:14" x14ac:dyDescent="0.3">
      <c r="A13">
        <f>(5*1.074*0.100044*0.000000001)/(60*60*1123.99*1098675*0.000001)</f>
        <v>1.2084568357964191E-16</v>
      </c>
      <c r="B13" t="s">
        <v>8</v>
      </c>
      <c r="E13">
        <f>(5*0.708*0.100044*0.000000001)/(60*60*1123.99*798675*0.000001)</f>
        <v>1.0958705877566313E-16</v>
      </c>
      <c r="F13" t="s">
        <v>8</v>
      </c>
      <c r="I13">
        <f>(5*0.507*0.100044*0.000000001)/(60*60*1123.99*598675*0.000001)</f>
        <v>1.0469186589547196E-16</v>
      </c>
      <c r="J13" t="s">
        <v>8</v>
      </c>
      <c r="M13">
        <f>(5*0.387*0.100044*0.000000001)/(60*60*1123.99*473675*0.000001)</f>
        <v>1.0100121657493476E-16</v>
      </c>
      <c r="N13" t="s">
        <v>8</v>
      </c>
    </row>
    <row r="14" spans="1:14" x14ac:dyDescent="0.3">
      <c r="A14">
        <f>A13*1013250000000000</f>
        <v>0.12244688888707217</v>
      </c>
      <c r="B14" t="s">
        <v>7</v>
      </c>
      <c r="E14">
        <f>E13*1013250000000000</f>
        <v>0.11103908730444068</v>
      </c>
      <c r="F14" t="s">
        <v>7</v>
      </c>
      <c r="I14">
        <f>I13*1013250000000000</f>
        <v>0.10607903311858696</v>
      </c>
      <c r="J14" t="s">
        <v>7</v>
      </c>
      <c r="M14">
        <f>M13*1013250000000000</f>
        <v>0.10233948269455265</v>
      </c>
      <c r="N14" t="s">
        <v>7</v>
      </c>
    </row>
    <row r="17" spans="1:4" x14ac:dyDescent="0.3">
      <c r="A17" s="1" t="s">
        <v>10</v>
      </c>
      <c r="B17" s="1" t="s">
        <v>11</v>
      </c>
      <c r="C17" s="1" t="s">
        <v>12</v>
      </c>
      <c r="D17" s="2" t="s">
        <v>13</v>
      </c>
    </row>
    <row r="18" spans="1:4" x14ac:dyDescent="0.3">
      <c r="A18" s="1">
        <v>20</v>
      </c>
      <c r="B18" s="1">
        <v>0.12244688888707217</v>
      </c>
      <c r="C18" s="1">
        <f>1-(B18/'AL6 100bar'!A14)</f>
        <v>9.1018727103101438E-2</v>
      </c>
      <c r="D18" s="1">
        <f>C18*100</f>
        <v>9.1018727103101433</v>
      </c>
    </row>
    <row r="19" spans="1:4" x14ac:dyDescent="0.3">
      <c r="A19" s="1">
        <v>40</v>
      </c>
      <c r="B19" s="1">
        <v>0.11103908730444068</v>
      </c>
      <c r="C19" s="1">
        <f>1-(B19/'AL6 100bar'!A14)</f>
        <v>0.17570424339334367</v>
      </c>
      <c r="D19" s="1">
        <f t="shared" ref="D19:D21" si="1">C19*100</f>
        <v>17.570424339334366</v>
      </c>
    </row>
    <row r="20" spans="1:4" x14ac:dyDescent="0.3">
      <c r="A20" s="1">
        <v>60</v>
      </c>
      <c r="B20" s="1">
        <v>0.10607903311858696</v>
      </c>
      <c r="C20" s="1">
        <f>1-(B20/'AL6 100bar'!A14)</f>
        <v>0.21252507574338397</v>
      </c>
      <c r="D20" s="1">
        <f t="shared" si="1"/>
        <v>21.252507574338399</v>
      </c>
    </row>
    <row r="21" spans="1:4" x14ac:dyDescent="0.3">
      <c r="A21" s="1">
        <v>80</v>
      </c>
      <c r="B21" s="1">
        <v>0.10233948269455265</v>
      </c>
      <c r="C21" s="1">
        <f>1-(B21/'AL6 100bar'!A14)</f>
        <v>0.2402855303812782</v>
      </c>
      <c r="D21" s="1">
        <f t="shared" si="1"/>
        <v>24.028553038127821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72D31-9F88-46EC-8A69-56D806247E11}">
  <sheetPr>
    <tabColor rgb="FFFF0000"/>
  </sheetPr>
  <dimension ref="A1:I6"/>
  <sheetViews>
    <sheetView topLeftCell="G1" workbookViewId="0">
      <selection activeCell="M29" sqref="M29"/>
    </sheetView>
  </sheetViews>
  <sheetFormatPr defaultRowHeight="14.4" x14ac:dyDescent="0.3"/>
  <sheetData>
    <row r="1" spans="1:9" ht="15" thickBot="1" x14ac:dyDescent="0.35">
      <c r="A1" s="10" t="s">
        <v>15</v>
      </c>
      <c r="B1" s="9"/>
      <c r="C1" s="17">
        <v>20</v>
      </c>
      <c r="D1" s="9"/>
      <c r="E1" s="17">
        <v>40</v>
      </c>
      <c r="F1" s="9"/>
      <c r="G1" s="17">
        <v>60</v>
      </c>
      <c r="H1" s="9"/>
      <c r="I1" s="17">
        <v>80</v>
      </c>
    </row>
    <row r="2" spans="1:9" x14ac:dyDescent="0.3">
      <c r="A2" s="11" t="s">
        <v>14</v>
      </c>
      <c r="B2" s="21" t="s">
        <v>9</v>
      </c>
      <c r="C2" s="22" t="s">
        <v>12</v>
      </c>
      <c r="D2" s="22" t="s">
        <v>9</v>
      </c>
      <c r="E2" s="23" t="s">
        <v>12</v>
      </c>
      <c r="F2" s="22" t="s">
        <v>9</v>
      </c>
      <c r="G2" s="23" t="s">
        <v>12</v>
      </c>
      <c r="H2" s="22" t="s">
        <v>9</v>
      </c>
      <c r="I2" s="23" t="s">
        <v>12</v>
      </c>
    </row>
    <row r="3" spans="1:9" x14ac:dyDescent="0.3">
      <c r="A3" s="12">
        <v>100</v>
      </c>
      <c r="B3" s="1">
        <v>0.13470782351416</v>
      </c>
      <c r="C3" s="1">
        <v>0</v>
      </c>
      <c r="D3" s="1">
        <v>0.11103908730444068</v>
      </c>
      <c r="E3" s="1">
        <v>17.570424339334366</v>
      </c>
      <c r="F3" s="1">
        <v>0.11070181749643972</v>
      </c>
      <c r="G3" s="1">
        <v>17.820795698029436</v>
      </c>
      <c r="H3" s="1">
        <v>0.10804179966644503</v>
      </c>
      <c r="I3" s="1">
        <v>19.795452967816786</v>
      </c>
    </row>
    <row r="4" spans="1:9" x14ac:dyDescent="0.3">
      <c r="A4" s="12">
        <v>150</v>
      </c>
      <c r="B4" s="1">
        <v>0.13470782351416027</v>
      </c>
      <c r="C4" s="1">
        <v>0</v>
      </c>
      <c r="D4" s="1">
        <v>0.11103908730444068</v>
      </c>
      <c r="E4" s="1">
        <v>17.570424339334366</v>
      </c>
      <c r="F4" s="1">
        <v>0.11070181749643972</v>
      </c>
      <c r="G4" s="1">
        <v>17.820795698029436</v>
      </c>
      <c r="H4" s="1">
        <v>0.10804179966644503</v>
      </c>
      <c r="I4" s="1">
        <v>19.795452967816786</v>
      </c>
    </row>
    <row r="5" spans="1:9" ht="15" thickBot="1" x14ac:dyDescent="0.35">
      <c r="A5" s="13">
        <v>200</v>
      </c>
      <c r="B5" s="1">
        <v>0.12244688888707217</v>
      </c>
      <c r="C5" s="1">
        <v>9.1018727103101433</v>
      </c>
      <c r="D5" s="1">
        <v>0.11103908730444068</v>
      </c>
      <c r="E5" s="1">
        <v>17.570424339334366</v>
      </c>
      <c r="F5" s="1">
        <v>0.10607903311858696</v>
      </c>
      <c r="G5" s="1">
        <v>21.252507574338399</v>
      </c>
      <c r="H5" s="1">
        <v>0.10233948269455265</v>
      </c>
      <c r="I5" s="1">
        <v>24.028553038127821</v>
      </c>
    </row>
    <row r="6" spans="1:9" x14ac:dyDescent="0.3">
      <c r="A6" s="24"/>
      <c r="B6" s="25"/>
      <c r="C6" s="25"/>
      <c r="D6" s="24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4A45-6C85-4FD6-9E75-487D2802310A}">
  <sheetPr>
    <tabColor rgb="FF92D050"/>
  </sheetPr>
  <dimension ref="A1:AH18"/>
  <sheetViews>
    <sheetView topLeftCell="J1" zoomScale="90" zoomScaleNormal="90" workbookViewId="0">
      <selection activeCell="T29" sqref="T29"/>
    </sheetView>
  </sheetViews>
  <sheetFormatPr defaultRowHeight="14.4" x14ac:dyDescent="0.3"/>
  <sheetData>
    <row r="1" spans="1:34" ht="15" thickBot="1" x14ac:dyDescent="0.35">
      <c r="A1" s="10" t="s">
        <v>15</v>
      </c>
      <c r="B1" s="46">
        <v>20</v>
      </c>
      <c r="C1" s="47"/>
      <c r="D1" s="46">
        <v>40</v>
      </c>
      <c r="E1" s="47"/>
      <c r="F1" s="46">
        <v>60</v>
      </c>
      <c r="G1" s="47"/>
      <c r="H1" s="46">
        <v>80</v>
      </c>
      <c r="I1" s="47"/>
      <c r="K1">
        <v>20</v>
      </c>
      <c r="L1" s="26" t="s">
        <v>19</v>
      </c>
      <c r="M1" s="31" t="s">
        <v>16</v>
      </c>
      <c r="N1" s="31" t="s">
        <v>17</v>
      </c>
      <c r="O1" s="31" t="s">
        <v>18</v>
      </c>
      <c r="P1" s="27" t="s">
        <v>20</v>
      </c>
      <c r="Q1">
        <v>40</v>
      </c>
      <c r="R1" s="26" t="s">
        <v>19</v>
      </c>
      <c r="S1" s="31" t="s">
        <v>16</v>
      </c>
      <c r="T1" s="31" t="s">
        <v>17</v>
      </c>
      <c r="U1" s="31" t="s">
        <v>18</v>
      </c>
      <c r="V1" s="27" t="s">
        <v>20</v>
      </c>
      <c r="X1" s="26" t="s">
        <v>19</v>
      </c>
      <c r="Y1" s="31" t="s">
        <v>16</v>
      </c>
      <c r="Z1" s="31" t="s">
        <v>17</v>
      </c>
      <c r="AA1" s="31" t="s">
        <v>18</v>
      </c>
      <c r="AB1" s="27" t="s">
        <v>20</v>
      </c>
      <c r="AD1" s="26" t="s">
        <v>19</v>
      </c>
      <c r="AE1" s="31" t="s">
        <v>16</v>
      </c>
      <c r="AF1" s="31" t="s">
        <v>17</v>
      </c>
      <c r="AG1" s="31" t="s">
        <v>18</v>
      </c>
      <c r="AH1" s="27" t="s">
        <v>20</v>
      </c>
    </row>
    <row r="2" spans="1:34" ht="15" thickBot="1" x14ac:dyDescent="0.35">
      <c r="A2" s="11" t="s">
        <v>14</v>
      </c>
      <c r="B2" s="18" t="s">
        <v>9</v>
      </c>
      <c r="C2" s="20" t="s">
        <v>13</v>
      </c>
      <c r="D2" s="20" t="s">
        <v>9</v>
      </c>
      <c r="E2" s="19" t="s">
        <v>13</v>
      </c>
      <c r="F2" s="20" t="s">
        <v>9</v>
      </c>
      <c r="G2" s="19" t="s">
        <v>13</v>
      </c>
      <c r="H2" s="20" t="s">
        <v>9</v>
      </c>
      <c r="I2" s="19" t="s">
        <v>13</v>
      </c>
      <c r="L2" s="12" t="s">
        <v>14</v>
      </c>
      <c r="M2" s="1" t="s">
        <v>9</v>
      </c>
      <c r="N2" s="1" t="s">
        <v>9</v>
      </c>
      <c r="O2" s="1" t="s">
        <v>9</v>
      </c>
      <c r="P2" s="2" t="s">
        <v>9</v>
      </c>
      <c r="R2" s="12" t="s">
        <v>14</v>
      </c>
      <c r="S2" s="1" t="s">
        <v>9</v>
      </c>
      <c r="T2" s="1" t="s">
        <v>9</v>
      </c>
      <c r="U2" s="1" t="s">
        <v>9</v>
      </c>
      <c r="V2" s="2" t="s">
        <v>9</v>
      </c>
      <c r="X2" s="12" t="s">
        <v>14</v>
      </c>
      <c r="Y2" s="1" t="s">
        <v>9</v>
      </c>
      <c r="Z2" s="1" t="s">
        <v>9</v>
      </c>
      <c r="AA2" s="1" t="s">
        <v>9</v>
      </c>
      <c r="AB2" s="2" t="s">
        <v>9</v>
      </c>
      <c r="AD2" s="12" t="s">
        <v>14</v>
      </c>
      <c r="AE2" s="1" t="s">
        <v>9</v>
      </c>
      <c r="AF2" s="1" t="s">
        <v>9</v>
      </c>
      <c r="AG2" s="1" t="s">
        <v>9</v>
      </c>
      <c r="AH2" s="2" t="s">
        <v>9</v>
      </c>
    </row>
    <row r="3" spans="1:34" x14ac:dyDescent="0.3">
      <c r="A3" s="15">
        <v>100</v>
      </c>
      <c r="B3" s="38">
        <v>0.22449992545566833</v>
      </c>
      <c r="C3" s="39">
        <v>0</v>
      </c>
      <c r="D3" s="39">
        <v>0.222237476710267</v>
      </c>
      <c r="E3" s="39">
        <v>1.0077726042936299</v>
      </c>
      <c r="F3" s="39">
        <v>0.18196597650720917</v>
      </c>
      <c r="G3" s="39">
        <v>18.946086000753827</v>
      </c>
      <c r="H3" s="39">
        <v>0.16214932133225499</v>
      </c>
      <c r="I3" s="39">
        <v>27.773106827033601</v>
      </c>
      <c r="L3" s="12">
        <v>100</v>
      </c>
      <c r="M3" s="1">
        <v>0.22449992545566833</v>
      </c>
      <c r="N3" s="5">
        <v>0.13448774206133135</v>
      </c>
      <c r="O3" s="1">
        <v>0.13470782351416</v>
      </c>
      <c r="P3" s="1">
        <f>AVERAGE(M3,N3,O3)</f>
        <v>0.16456516367705323</v>
      </c>
      <c r="R3" s="12">
        <v>100</v>
      </c>
      <c r="S3" s="1">
        <v>0.222237476710267</v>
      </c>
      <c r="T3" s="5">
        <v>0.11085767509676595</v>
      </c>
      <c r="U3" s="1">
        <v>0.11103908730444068</v>
      </c>
      <c r="V3" s="1">
        <f>AVERAGE(S3,T3,U3)</f>
        <v>0.14804474637049123</v>
      </c>
      <c r="X3" s="12">
        <v>100</v>
      </c>
      <c r="Y3" s="1">
        <v>0.18196597650720917</v>
      </c>
      <c r="Z3" s="1">
        <v>0.1059057244931902</v>
      </c>
      <c r="AA3" s="1">
        <v>0.11070181749643972</v>
      </c>
      <c r="AB3" s="1">
        <f>AVERAGE(Y3,Z3,AA3,)</f>
        <v>9.9643379624209771E-2</v>
      </c>
      <c r="AD3" s="12">
        <v>100</v>
      </c>
      <c r="AE3" s="1">
        <v>0.16214932133225499</v>
      </c>
      <c r="AF3" s="1">
        <v>9.7050095650680512E-2</v>
      </c>
      <c r="AG3" s="1">
        <v>0.10804179966644503</v>
      </c>
      <c r="AH3" s="1">
        <f>AVERAGE(AE3,AF3,AG3)</f>
        <v>0.12241373888312683</v>
      </c>
    </row>
    <row r="4" spans="1:34" x14ac:dyDescent="0.3">
      <c r="A4" s="15">
        <v>150</v>
      </c>
      <c r="B4" s="37">
        <v>0.19236768579407054</v>
      </c>
      <c r="C4" s="1">
        <v>14.312806383511646</v>
      </c>
      <c r="D4" s="1">
        <v>0.17767188254367175</v>
      </c>
      <c r="E4" s="1">
        <v>20.8588233679586</v>
      </c>
      <c r="F4" s="1">
        <v>0.1591446337459112</v>
      </c>
      <c r="G4" s="1">
        <v>29.111498178498387</v>
      </c>
      <c r="H4" s="5">
        <v>0.15689624540021455</v>
      </c>
      <c r="I4" s="5">
        <v>30.113007796433934</v>
      </c>
      <c r="L4" s="12">
        <v>150</v>
      </c>
      <c r="M4" s="1">
        <v>0.19236768579407054</v>
      </c>
      <c r="N4" s="5">
        <v>0.12224683896793873</v>
      </c>
      <c r="O4" s="1">
        <v>0.13470782351416027</v>
      </c>
      <c r="P4" s="1">
        <f t="shared" ref="P4:P5" si="0">AVERAGE(M4,N4,O4)</f>
        <v>0.14977411609205651</v>
      </c>
      <c r="R4" s="12">
        <v>150</v>
      </c>
      <c r="S4" s="1">
        <v>0.17767188254367175</v>
      </c>
      <c r="T4" s="1">
        <v>0.11085767509676595</v>
      </c>
      <c r="U4" s="1">
        <v>0.11103908730444068</v>
      </c>
      <c r="V4" s="1">
        <f t="shared" ref="V4:V5" si="1">AVERAGE(S4,T4,U4)</f>
        <v>0.13318954831495947</v>
      </c>
      <c r="X4" s="12">
        <v>150</v>
      </c>
      <c r="Y4" s="1">
        <v>0.1591446337459112</v>
      </c>
      <c r="Z4" s="1">
        <v>0.1059057244931902</v>
      </c>
      <c r="AA4" s="1">
        <v>0.11070181749643972</v>
      </c>
      <c r="AB4" s="1">
        <f t="shared" ref="AB4:AB5" si="2">AVERAGE(Y4,Z4,AA4,)</f>
        <v>9.3938043933885274E-2</v>
      </c>
      <c r="AD4" s="12">
        <v>150</v>
      </c>
      <c r="AE4" s="5">
        <v>0.15689624540021455</v>
      </c>
      <c r="AF4" s="1">
        <v>9.7050095650680512E-2</v>
      </c>
      <c r="AG4" s="1">
        <v>0.10804179966644503</v>
      </c>
      <c r="AH4" s="1">
        <f t="shared" ref="AH4:AH5" si="3">AVERAGE(AE4,AF4,AG4)</f>
        <v>0.12066271357244669</v>
      </c>
    </row>
    <row r="5" spans="1:34" ht="15" thickBot="1" x14ac:dyDescent="0.35">
      <c r="A5" s="16">
        <v>200</v>
      </c>
      <c r="B5" s="37">
        <v>0.19236768579407054</v>
      </c>
      <c r="C5" s="1">
        <v>14.312806383511401</v>
      </c>
      <c r="D5" s="1">
        <v>0.17767188254367175</v>
      </c>
      <c r="E5" s="1">
        <v>20.8588233679586</v>
      </c>
      <c r="F5" s="1">
        <v>0.15914463374591101</v>
      </c>
      <c r="G5" s="1">
        <v>29.111498178498401</v>
      </c>
      <c r="H5" s="5">
        <v>0.15689624540021455</v>
      </c>
      <c r="I5" s="1">
        <v>30.113007796433902</v>
      </c>
      <c r="L5" s="13">
        <v>200</v>
      </c>
      <c r="M5" s="1">
        <v>0.19236768579407054</v>
      </c>
      <c r="N5" s="1">
        <v>0.11204834154637418</v>
      </c>
      <c r="O5" s="1">
        <v>0.12244688888707217</v>
      </c>
      <c r="P5" s="1">
        <f t="shared" si="0"/>
        <v>0.14228763874250563</v>
      </c>
      <c r="R5" s="13">
        <v>200</v>
      </c>
      <c r="S5" s="1">
        <v>0.17767188254367175</v>
      </c>
      <c r="T5" s="1">
        <v>0.11085767509676595</v>
      </c>
      <c r="U5" s="1">
        <v>0.11103908730444068</v>
      </c>
      <c r="V5" s="1">
        <f t="shared" si="1"/>
        <v>0.13318954831495947</v>
      </c>
      <c r="X5" s="13">
        <v>200</v>
      </c>
      <c r="Y5" s="1">
        <v>0.15914463374591101</v>
      </c>
      <c r="Z5" s="1">
        <v>0.1059057244931902</v>
      </c>
      <c r="AA5" s="1">
        <v>0.10607903311858696</v>
      </c>
      <c r="AB5" s="1">
        <f t="shared" si="2"/>
        <v>9.2782347839422047E-2</v>
      </c>
      <c r="AD5" s="13">
        <v>200</v>
      </c>
      <c r="AE5" s="5">
        <v>0.15689624540021455</v>
      </c>
      <c r="AF5" s="1">
        <v>9.7050095650680512E-2</v>
      </c>
      <c r="AG5" s="1">
        <v>0.10233948269455265</v>
      </c>
      <c r="AH5" s="1">
        <f t="shared" si="3"/>
        <v>0.11876194124848256</v>
      </c>
    </row>
    <row r="6" spans="1:34" ht="15" thickBot="1" x14ac:dyDescent="0.35"/>
    <row r="7" spans="1:34" ht="15" thickBot="1" x14ac:dyDescent="0.35">
      <c r="A7" s="10" t="s">
        <v>15</v>
      </c>
      <c r="B7" s="46">
        <v>20</v>
      </c>
      <c r="C7" s="47"/>
      <c r="D7" s="46">
        <v>40</v>
      </c>
      <c r="E7" s="47"/>
      <c r="F7" s="46">
        <v>60</v>
      </c>
      <c r="G7" s="47"/>
      <c r="H7" s="46">
        <v>80</v>
      </c>
      <c r="I7" s="47"/>
      <c r="K7" s="24"/>
      <c r="M7" s="24">
        <v>100</v>
      </c>
      <c r="N7" s="24">
        <v>150</v>
      </c>
      <c r="O7" s="24">
        <v>200</v>
      </c>
      <c r="P7" s="24"/>
      <c r="S7" s="24">
        <v>100</v>
      </c>
      <c r="T7" s="24">
        <v>150</v>
      </c>
      <c r="U7" s="24">
        <v>200</v>
      </c>
      <c r="Y7" s="24">
        <v>100</v>
      </c>
      <c r="Z7" s="24">
        <v>150</v>
      </c>
      <c r="AA7" s="24">
        <v>200</v>
      </c>
      <c r="AE7" s="24">
        <v>100</v>
      </c>
      <c r="AF7" s="24">
        <v>150</v>
      </c>
      <c r="AG7" s="24">
        <v>200</v>
      </c>
    </row>
    <row r="8" spans="1:34" ht="15" thickBot="1" x14ac:dyDescent="0.35">
      <c r="A8" s="11" t="s">
        <v>14</v>
      </c>
      <c r="B8" s="18" t="s">
        <v>9</v>
      </c>
      <c r="C8" s="20" t="s">
        <v>12</v>
      </c>
      <c r="D8" s="20" t="s">
        <v>9</v>
      </c>
      <c r="E8" s="19" t="s">
        <v>12</v>
      </c>
      <c r="F8" s="20" t="s">
        <v>9</v>
      </c>
      <c r="G8" s="19" t="s">
        <v>12</v>
      </c>
      <c r="H8" s="20" t="s">
        <v>9</v>
      </c>
      <c r="I8" s="19" t="s">
        <v>12</v>
      </c>
      <c r="K8" s="24"/>
      <c r="L8" s="24" t="s">
        <v>21</v>
      </c>
      <c r="M8" s="24">
        <f>MIN(M3:O3)</f>
        <v>0.13448774206133135</v>
      </c>
      <c r="N8" s="24">
        <f>MIN(M4:O4)</f>
        <v>0.12224683896793873</v>
      </c>
      <c r="O8" s="24">
        <f>MIN(M5:O5)</f>
        <v>0.11204834154637418</v>
      </c>
      <c r="P8" s="24"/>
      <c r="R8" s="24" t="s">
        <v>21</v>
      </c>
      <c r="S8" s="24">
        <f>MIN(S3:U3)</f>
        <v>0.11085767509676595</v>
      </c>
      <c r="T8" s="24">
        <f>MIN(S4:U4)</f>
        <v>0.11085767509676595</v>
      </c>
      <c r="U8" s="24">
        <f>MIN(S5:U5)</f>
        <v>0.11085767509676595</v>
      </c>
      <c r="X8" s="24" t="s">
        <v>21</v>
      </c>
      <c r="Y8" s="24">
        <f>MIN(Y3:AA3)</f>
        <v>0.1059057244931902</v>
      </c>
      <c r="Z8" s="24">
        <f>MIN(Y4:AA4)</f>
        <v>0.1059057244931902</v>
      </c>
      <c r="AA8" s="24">
        <f>MIN(Y5:AA5)</f>
        <v>0.1059057244931902</v>
      </c>
      <c r="AD8" s="24" t="s">
        <v>21</v>
      </c>
      <c r="AE8" s="24">
        <f>MIN(AE3:AG3)</f>
        <v>9.7050095650680512E-2</v>
      </c>
      <c r="AF8" s="24">
        <f>MIN(AE4:AG4)</f>
        <v>9.7050095650680512E-2</v>
      </c>
      <c r="AG8" s="24">
        <f>MIN(AE5:AG5)</f>
        <v>9.7050095650680512E-2</v>
      </c>
    </row>
    <row r="9" spans="1:34" x14ac:dyDescent="0.3">
      <c r="A9" s="15">
        <v>100</v>
      </c>
      <c r="B9" s="5">
        <v>0.13448774206133135</v>
      </c>
      <c r="C9" s="5">
        <v>0</v>
      </c>
      <c r="D9" s="5">
        <v>0.11085767509676595</v>
      </c>
      <c r="E9" s="5">
        <v>17.57042433933438</v>
      </c>
      <c r="F9" s="1">
        <v>0.1059057244931902</v>
      </c>
      <c r="G9" s="1">
        <v>21.252507574338409</v>
      </c>
      <c r="H9" s="1">
        <v>9.7050095650680512E-2</v>
      </c>
      <c r="I9" s="1">
        <v>27.837218349296023</v>
      </c>
      <c r="K9" s="24"/>
      <c r="L9" s="24" t="s">
        <v>22</v>
      </c>
      <c r="M9" s="24">
        <f>MAX(M3:O3)</f>
        <v>0.22449992545566833</v>
      </c>
      <c r="N9" s="24">
        <f>MAX(M4:O4)</f>
        <v>0.19236768579407054</v>
      </c>
      <c r="O9" s="24">
        <f>MAX(M5:O5)</f>
        <v>0.19236768579407054</v>
      </c>
      <c r="P9" s="24"/>
      <c r="R9" s="24" t="s">
        <v>22</v>
      </c>
      <c r="S9" s="24">
        <f>MAX(S3:U3)</f>
        <v>0.222237476710267</v>
      </c>
      <c r="T9" s="24">
        <f>MAX(S4:U4)</f>
        <v>0.17767188254367175</v>
      </c>
      <c r="U9" s="24">
        <f>MAX(S5:U5)</f>
        <v>0.17767188254367175</v>
      </c>
      <c r="X9" s="24" t="s">
        <v>22</v>
      </c>
      <c r="Y9" s="24">
        <f>MAX(Y3:AA3)</f>
        <v>0.18196597650720917</v>
      </c>
      <c r="Z9" s="24">
        <f>MAX(Y4:AA4)</f>
        <v>0.1591446337459112</v>
      </c>
      <c r="AA9" s="24">
        <f>MAX(Y5:AA5)</f>
        <v>0.15914463374591101</v>
      </c>
      <c r="AD9" s="24" t="s">
        <v>22</v>
      </c>
      <c r="AE9" s="24">
        <f>MAX(AE3:AG3)</f>
        <v>0.16214932133225499</v>
      </c>
      <c r="AF9" s="24">
        <f>MAX(AE4:AG4)</f>
        <v>0.15689624540021455</v>
      </c>
      <c r="AG9" s="24">
        <f>MAX(AE5:AG5)</f>
        <v>0.15689624540021455</v>
      </c>
    </row>
    <row r="10" spans="1:34" x14ac:dyDescent="0.3">
      <c r="A10" s="15">
        <v>150</v>
      </c>
      <c r="B10" s="5">
        <v>0.12224683896793873</v>
      </c>
      <c r="C10" s="5">
        <v>9.1018727103099106</v>
      </c>
      <c r="D10" s="1">
        <v>0.11085767509676595</v>
      </c>
      <c r="E10" s="1">
        <v>17.570424339334156</v>
      </c>
      <c r="F10" s="1">
        <v>0.1059057244931902</v>
      </c>
      <c r="G10" s="1">
        <v>21.252507574338196</v>
      </c>
      <c r="H10" s="1">
        <v>9.7050095650680512E-2</v>
      </c>
      <c r="I10" s="1">
        <v>27.837218349295835</v>
      </c>
      <c r="K10" s="24"/>
      <c r="L10" s="24" t="s">
        <v>20</v>
      </c>
      <c r="M10" s="24">
        <f>AVERAGE(M3:O3)</f>
        <v>0.16456516367705323</v>
      </c>
      <c r="N10" s="24">
        <f>AVERAGE(M4:O4)</f>
        <v>0.14977411609205651</v>
      </c>
      <c r="O10" s="24">
        <f>AVERAGE(M5:O5)</f>
        <v>0.14228763874250563</v>
      </c>
      <c r="P10" s="24"/>
      <c r="R10" s="24" t="s">
        <v>20</v>
      </c>
      <c r="S10" s="24">
        <f>AVERAGE(S3:U3)</f>
        <v>0.14804474637049123</v>
      </c>
      <c r="T10" s="24">
        <f>AVERAGE(S4:U4)</f>
        <v>0.13318954831495947</v>
      </c>
      <c r="U10" s="24">
        <f>AVERAGE(S5:U5)</f>
        <v>0.13318954831495947</v>
      </c>
      <c r="X10" s="24" t="s">
        <v>20</v>
      </c>
      <c r="Y10" s="24">
        <f>AVERAGE(Y3:AA3)</f>
        <v>0.13285783949894636</v>
      </c>
      <c r="Z10" s="24">
        <f>AVERAGE(Y4:AA4)</f>
        <v>0.12525072524518036</v>
      </c>
      <c r="AA10" s="24">
        <f>AVERAGE(Y5:AA5)</f>
        <v>0.1237097971192294</v>
      </c>
      <c r="AD10" s="24" t="s">
        <v>20</v>
      </c>
      <c r="AE10" s="24">
        <f>AVERAGE(AE3:AG3)</f>
        <v>0.12241373888312683</v>
      </c>
      <c r="AF10" s="24">
        <f>AVERAGE(AE4:AG4)</f>
        <v>0.12066271357244669</v>
      </c>
      <c r="AG10" s="24">
        <f>AVERAGE(AE5:AG5)</f>
        <v>0.11876194124848256</v>
      </c>
    </row>
    <row r="11" spans="1:34" ht="15" thickBot="1" x14ac:dyDescent="0.35">
      <c r="A11" s="16">
        <v>200</v>
      </c>
      <c r="B11" s="1">
        <v>0.11204834154637418</v>
      </c>
      <c r="C11" s="1">
        <v>16.685089786639207</v>
      </c>
      <c r="D11" s="1">
        <v>0.11085767509676595</v>
      </c>
      <c r="E11" s="1">
        <v>17.570424339334156</v>
      </c>
      <c r="F11" s="1">
        <v>0.1059057244931902</v>
      </c>
      <c r="G11" s="1">
        <v>21.252507574338196</v>
      </c>
      <c r="H11" s="1">
        <v>9.7050095650680512E-2</v>
      </c>
      <c r="I11" s="1">
        <v>27.837218349295835</v>
      </c>
    </row>
    <row r="12" spans="1:34" ht="15" thickBot="1" x14ac:dyDescent="0.35"/>
    <row r="13" spans="1:34" ht="15" thickBot="1" x14ac:dyDescent="0.35">
      <c r="A13" s="10" t="s">
        <v>15</v>
      </c>
      <c r="B13" s="46">
        <v>20</v>
      </c>
      <c r="C13" s="47"/>
      <c r="D13" s="46">
        <v>40</v>
      </c>
      <c r="E13" s="47"/>
      <c r="F13" s="46">
        <v>60</v>
      </c>
      <c r="G13" s="47"/>
      <c r="H13" s="46">
        <v>80</v>
      </c>
      <c r="I13" s="47"/>
      <c r="L13" t="s">
        <v>32</v>
      </c>
    </row>
    <row r="14" spans="1:34" ht="15" thickBot="1" x14ac:dyDescent="0.35">
      <c r="A14" s="11" t="s">
        <v>14</v>
      </c>
      <c r="B14" s="40" t="s">
        <v>9</v>
      </c>
      <c r="C14" s="20" t="s">
        <v>12</v>
      </c>
      <c r="D14" s="20" t="s">
        <v>9</v>
      </c>
      <c r="E14" s="19" t="s">
        <v>12</v>
      </c>
      <c r="F14" s="20" t="s">
        <v>9</v>
      </c>
      <c r="G14" s="19" t="s">
        <v>12</v>
      </c>
      <c r="H14" s="20" t="s">
        <v>9</v>
      </c>
      <c r="I14" s="19" t="s">
        <v>12</v>
      </c>
      <c r="L14" s="10" t="s">
        <v>15</v>
      </c>
      <c r="M14" s="46">
        <v>20</v>
      </c>
      <c r="N14" s="47"/>
      <c r="O14" s="46">
        <v>40</v>
      </c>
      <c r="P14" s="47"/>
      <c r="Q14" s="46">
        <v>60</v>
      </c>
      <c r="R14" s="47"/>
      <c r="S14" s="46">
        <v>80</v>
      </c>
      <c r="T14" s="47"/>
    </row>
    <row r="15" spans="1:34" x14ac:dyDescent="0.3">
      <c r="A15" s="15">
        <v>100</v>
      </c>
      <c r="B15" s="38">
        <v>0.13470782351416</v>
      </c>
      <c r="C15" s="39">
        <v>0</v>
      </c>
      <c r="D15" s="39">
        <v>0.11103908730444068</v>
      </c>
      <c r="E15" s="39">
        <v>17.570424339334366</v>
      </c>
      <c r="F15" s="39">
        <v>0.11070181749643972</v>
      </c>
      <c r="G15" s="39">
        <v>17.820795698029436</v>
      </c>
      <c r="H15" s="39">
        <v>0.10804179966644503</v>
      </c>
      <c r="I15" s="39">
        <v>19.795452967816786</v>
      </c>
      <c r="L15" s="15" t="s">
        <v>14</v>
      </c>
      <c r="M15" s="38" t="s">
        <v>9</v>
      </c>
      <c r="N15" s="39" t="s">
        <v>13</v>
      </c>
      <c r="O15" s="39" t="s">
        <v>9</v>
      </c>
      <c r="P15" s="39" t="s">
        <v>13</v>
      </c>
      <c r="Q15" s="39" t="s">
        <v>9</v>
      </c>
      <c r="R15" s="39" t="s">
        <v>13</v>
      </c>
      <c r="S15" s="39" t="s">
        <v>9</v>
      </c>
      <c r="T15" s="39" t="s">
        <v>13</v>
      </c>
    </row>
    <row r="16" spans="1:34" x14ac:dyDescent="0.3">
      <c r="A16" s="15">
        <v>150</v>
      </c>
      <c r="B16" s="37">
        <v>0.13470782351416027</v>
      </c>
      <c r="C16" s="1">
        <v>0</v>
      </c>
      <c r="D16" s="1">
        <v>0.11103908730444068</v>
      </c>
      <c r="E16" s="1">
        <v>17.570424339334366</v>
      </c>
      <c r="F16" s="1">
        <v>0.11070181749643972</v>
      </c>
      <c r="G16" s="1">
        <v>17.820795698029436</v>
      </c>
      <c r="H16" s="1">
        <v>0.10804179966644503</v>
      </c>
      <c r="I16" s="1">
        <v>19.795452967816786</v>
      </c>
      <c r="L16" s="15">
        <v>100</v>
      </c>
      <c r="M16" s="37">
        <v>0.16456516367705301</v>
      </c>
      <c r="N16" s="1">
        <v>0</v>
      </c>
      <c r="O16" s="1">
        <v>0.14804474637049123</v>
      </c>
      <c r="P16" s="1">
        <v>12.049540427654128</v>
      </c>
      <c r="Q16" s="1">
        <v>0.13285783949894636</v>
      </c>
      <c r="R16" s="1">
        <v>19.33979642437389</v>
      </c>
      <c r="S16" s="1">
        <v>0.12241373888312683</v>
      </c>
      <c r="T16" s="1">
        <v>25.135259381382138</v>
      </c>
    </row>
    <row r="17" spans="1:20" ht="15" thickBot="1" x14ac:dyDescent="0.35">
      <c r="A17" s="16">
        <v>200</v>
      </c>
      <c r="B17" s="37">
        <v>0.12244688888707217</v>
      </c>
      <c r="C17" s="1">
        <v>9.1018727103101433</v>
      </c>
      <c r="D17" s="1">
        <v>0.11103908730444068</v>
      </c>
      <c r="E17" s="1">
        <v>17.570424339334366</v>
      </c>
      <c r="F17" s="1">
        <v>0.10607903311858696</v>
      </c>
      <c r="G17" s="1">
        <v>21.252507574338399</v>
      </c>
      <c r="H17" s="1">
        <v>0.10233948269455265</v>
      </c>
      <c r="I17" s="1">
        <v>24.028553038127821</v>
      </c>
      <c r="L17" s="15">
        <v>150</v>
      </c>
      <c r="M17" s="37">
        <v>0.14977411609205651</v>
      </c>
      <c r="N17" s="1">
        <v>7.8048930312738518</v>
      </c>
      <c r="O17" s="1">
        <v>0.13318954831495947</v>
      </c>
      <c r="P17" s="1">
        <v>18.66655734887571</v>
      </c>
      <c r="Q17" s="1">
        <v>0.12525072524518036</v>
      </c>
      <c r="R17" s="1">
        <v>22.728267150288673</v>
      </c>
      <c r="S17" s="1">
        <v>0.12066271357244669</v>
      </c>
      <c r="T17" s="1">
        <v>25.915226371182186</v>
      </c>
    </row>
    <row r="18" spans="1:20" ht="15" thickBot="1" x14ac:dyDescent="0.35">
      <c r="L18" s="16">
        <v>200</v>
      </c>
      <c r="M18" s="37">
        <v>0.14228763874250563</v>
      </c>
      <c r="N18" s="1">
        <v>13.36658962682025</v>
      </c>
      <c r="O18" s="1">
        <v>0.13318954831495947</v>
      </c>
      <c r="P18" s="1">
        <v>18.66655734887571</v>
      </c>
      <c r="Q18" s="1">
        <v>0.1237097971192294</v>
      </c>
      <c r="R18" s="1">
        <v>23.872171109058332</v>
      </c>
      <c r="S18" s="1">
        <v>0.11876194124848256</v>
      </c>
      <c r="T18" s="1">
        <v>27.326259727952518</v>
      </c>
    </row>
  </sheetData>
  <mergeCells count="16">
    <mergeCell ref="D1:E1"/>
    <mergeCell ref="F1:G1"/>
    <mergeCell ref="H1:I1"/>
    <mergeCell ref="B1:C1"/>
    <mergeCell ref="B7:C7"/>
    <mergeCell ref="D7:E7"/>
    <mergeCell ref="F7:G7"/>
    <mergeCell ref="H7:I7"/>
    <mergeCell ref="Q14:R14"/>
    <mergeCell ref="S14:T14"/>
    <mergeCell ref="B13:C13"/>
    <mergeCell ref="D13:E13"/>
    <mergeCell ref="F13:G13"/>
    <mergeCell ref="H13:I13"/>
    <mergeCell ref="M14:N14"/>
    <mergeCell ref="O14:P1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AF03-9626-4BD6-90D3-B9E2A5BA7E2E}">
  <sheetPr>
    <tabColor rgb="FF92D050"/>
  </sheetPr>
  <dimension ref="A1:AE17"/>
  <sheetViews>
    <sheetView workbookViewId="0">
      <selection activeCell="R29" sqref="R29"/>
    </sheetView>
  </sheetViews>
  <sheetFormatPr defaultRowHeight="14.4" x14ac:dyDescent="0.3"/>
  <sheetData>
    <row r="1" spans="1:31" ht="15" thickBot="1" x14ac:dyDescent="0.35">
      <c r="A1" s="10" t="s">
        <v>15</v>
      </c>
      <c r="B1" s="9"/>
      <c r="C1" s="17">
        <v>20</v>
      </c>
      <c r="D1" s="9"/>
      <c r="E1" s="17">
        <v>40</v>
      </c>
      <c r="F1" s="9"/>
      <c r="G1" s="17">
        <v>60</v>
      </c>
      <c r="H1" s="9"/>
      <c r="I1" s="17">
        <v>80</v>
      </c>
      <c r="L1" t="s">
        <v>23</v>
      </c>
      <c r="M1" s="8" t="s">
        <v>25</v>
      </c>
      <c r="N1" s="8" t="s">
        <v>16</v>
      </c>
      <c r="O1" s="8" t="s">
        <v>26</v>
      </c>
      <c r="P1" s="8" t="s">
        <v>18</v>
      </c>
      <c r="Q1" s="8" t="s">
        <v>27</v>
      </c>
      <c r="S1" s="30" t="s">
        <v>29</v>
      </c>
      <c r="T1" s="8" t="s">
        <v>25</v>
      </c>
      <c r="U1" s="8" t="s">
        <v>16</v>
      </c>
      <c r="V1" s="8" t="s">
        <v>26</v>
      </c>
      <c r="W1" s="8" t="s">
        <v>18</v>
      </c>
      <c r="X1" s="8" t="s">
        <v>27</v>
      </c>
      <c r="Z1" s="30" t="s">
        <v>28</v>
      </c>
      <c r="AA1" s="8" t="s">
        <v>25</v>
      </c>
      <c r="AB1" s="8" t="s">
        <v>16</v>
      </c>
      <c r="AC1" s="8" t="s">
        <v>26</v>
      </c>
      <c r="AD1" s="8" t="s">
        <v>18</v>
      </c>
      <c r="AE1" s="8" t="s">
        <v>27</v>
      </c>
    </row>
    <row r="2" spans="1:31" x14ac:dyDescent="0.3">
      <c r="A2" s="11" t="s">
        <v>14</v>
      </c>
      <c r="B2" s="21" t="s">
        <v>9</v>
      </c>
      <c r="C2" s="22" t="s">
        <v>13</v>
      </c>
      <c r="D2" s="22" t="s">
        <v>9</v>
      </c>
      <c r="E2" s="23" t="s">
        <v>13</v>
      </c>
      <c r="F2" s="22" t="s">
        <v>9</v>
      </c>
      <c r="G2" s="23" t="s">
        <v>13</v>
      </c>
      <c r="H2" s="22" t="s">
        <v>9</v>
      </c>
      <c r="I2" s="23" t="s">
        <v>13</v>
      </c>
      <c r="M2" s="28" t="s">
        <v>24</v>
      </c>
      <c r="N2" t="s">
        <v>13</v>
      </c>
      <c r="O2" t="s">
        <v>13</v>
      </c>
      <c r="P2" t="s">
        <v>13</v>
      </c>
      <c r="Q2" t="s">
        <v>13</v>
      </c>
      <c r="T2" s="28" t="s">
        <v>24</v>
      </c>
      <c r="U2" t="s">
        <v>13</v>
      </c>
      <c r="V2" t="s">
        <v>13</v>
      </c>
      <c r="W2" t="s">
        <v>13</v>
      </c>
      <c r="X2" t="s">
        <v>13</v>
      </c>
      <c r="AA2" s="28" t="s">
        <v>24</v>
      </c>
      <c r="AB2" t="s">
        <v>13</v>
      </c>
      <c r="AC2" t="s">
        <v>13</v>
      </c>
      <c r="AD2" t="s">
        <v>13</v>
      </c>
      <c r="AE2" t="s">
        <v>13</v>
      </c>
    </row>
    <row r="3" spans="1:31" x14ac:dyDescent="0.3">
      <c r="A3" s="12">
        <v>100</v>
      </c>
      <c r="B3" s="1">
        <v>0.22449992545566833</v>
      </c>
      <c r="C3" s="1">
        <v>0</v>
      </c>
      <c r="D3" s="1">
        <v>0.222237476710267</v>
      </c>
      <c r="E3" s="1">
        <v>1.0077726042936299</v>
      </c>
      <c r="F3" s="1">
        <v>0.18196597650720917</v>
      </c>
      <c r="G3" s="1">
        <v>18.946086000753827</v>
      </c>
      <c r="H3" s="1">
        <v>0.16214932133225499</v>
      </c>
      <c r="I3" s="1">
        <v>27.773106827033601</v>
      </c>
      <c r="M3" s="28">
        <v>20</v>
      </c>
      <c r="N3" s="1">
        <v>0</v>
      </c>
      <c r="O3" s="5">
        <v>0</v>
      </c>
      <c r="P3" s="1">
        <v>0</v>
      </c>
      <c r="Q3" s="1">
        <f>AVERAGE(N3:P3)</f>
        <v>0</v>
      </c>
      <c r="T3" s="28">
        <v>20</v>
      </c>
      <c r="U3" s="1">
        <v>14.312806383511646</v>
      </c>
      <c r="V3" s="5">
        <v>9.1018727103099106</v>
      </c>
      <c r="W3" s="1">
        <v>0</v>
      </c>
      <c r="X3">
        <f>AVERAGE(U3:W3)</f>
        <v>7.8048930312738518</v>
      </c>
      <c r="AA3" s="28">
        <v>20</v>
      </c>
      <c r="AB3" s="1">
        <v>14.312806383511401</v>
      </c>
      <c r="AC3" s="1">
        <v>16.685089786639207</v>
      </c>
      <c r="AD3" s="1">
        <v>9.1018727103101433</v>
      </c>
      <c r="AE3" s="1">
        <f>AVERAGE(AB3:AD3)</f>
        <v>13.36658962682025</v>
      </c>
    </row>
    <row r="4" spans="1:31" x14ac:dyDescent="0.3">
      <c r="A4" s="12">
        <v>150</v>
      </c>
      <c r="B4" s="1">
        <v>0.19236768579407054</v>
      </c>
      <c r="C4" s="1">
        <v>14.312806383511646</v>
      </c>
      <c r="D4" s="1">
        <v>0.17767188254367175</v>
      </c>
      <c r="E4" s="1">
        <v>20.8588233679586</v>
      </c>
      <c r="F4" s="1">
        <v>0.1591446337459112</v>
      </c>
      <c r="G4" s="1">
        <v>29.111498178498387</v>
      </c>
      <c r="H4" s="5">
        <v>0.15689624540021455</v>
      </c>
      <c r="I4" s="5">
        <v>30.113007796433934</v>
      </c>
      <c r="M4" s="28">
        <v>40</v>
      </c>
      <c r="N4" s="1">
        <v>1.0077726042936299</v>
      </c>
      <c r="O4" s="5">
        <v>17.57042433933438</v>
      </c>
      <c r="P4" s="1">
        <v>17.570424339334366</v>
      </c>
      <c r="Q4" s="1">
        <f t="shared" ref="Q4:Q6" si="0">AVERAGE(N4:P4)</f>
        <v>12.049540427654128</v>
      </c>
      <c r="T4" s="28">
        <v>40</v>
      </c>
      <c r="U4" s="1">
        <v>20.8588233679586</v>
      </c>
      <c r="V4" s="1">
        <v>17.570424339334156</v>
      </c>
      <c r="W4" s="1">
        <v>17.570424339334366</v>
      </c>
      <c r="X4">
        <f t="shared" ref="X4:X6" si="1">AVERAGE(U4:W4)</f>
        <v>18.66655734887571</v>
      </c>
      <c r="AA4" s="28">
        <v>40</v>
      </c>
      <c r="AB4" s="1">
        <v>20.8588233679586</v>
      </c>
      <c r="AC4" s="1">
        <v>17.570424339334156</v>
      </c>
      <c r="AD4" s="1">
        <v>17.570424339334366</v>
      </c>
      <c r="AE4" s="1">
        <f t="shared" ref="AE4:AE6" si="2">AVERAGE(AB4:AD4)</f>
        <v>18.66655734887571</v>
      </c>
    </row>
    <row r="5" spans="1:31" ht="15" thickBot="1" x14ac:dyDescent="0.35">
      <c r="A5" s="13">
        <v>200</v>
      </c>
      <c r="B5" s="1">
        <v>0.19236768579407054</v>
      </c>
      <c r="C5" s="1">
        <v>14.312806383511401</v>
      </c>
      <c r="D5" s="1">
        <v>0.17767188254367175</v>
      </c>
      <c r="E5" s="1">
        <v>20.8588233679586</v>
      </c>
      <c r="F5" s="1">
        <v>0.15914463374591101</v>
      </c>
      <c r="G5" s="1">
        <v>29.111498178498401</v>
      </c>
      <c r="H5" s="5">
        <v>0.15689624540021455</v>
      </c>
      <c r="I5" s="1">
        <v>30.113007796433902</v>
      </c>
      <c r="M5" s="28">
        <v>60</v>
      </c>
      <c r="N5" s="1">
        <v>18.946086000753827</v>
      </c>
      <c r="O5" s="1">
        <v>21.252507574338409</v>
      </c>
      <c r="P5" s="1">
        <v>17.820795698029436</v>
      </c>
      <c r="Q5" s="1">
        <f t="shared" si="0"/>
        <v>19.33979642437389</v>
      </c>
      <c r="T5" s="28">
        <v>60</v>
      </c>
      <c r="U5" s="1">
        <v>29.111498178498387</v>
      </c>
      <c r="V5" s="1">
        <v>21.252507574338196</v>
      </c>
      <c r="W5" s="1">
        <v>17.820795698029436</v>
      </c>
      <c r="X5">
        <f t="shared" si="1"/>
        <v>22.728267150288673</v>
      </c>
      <c r="AA5" s="28">
        <v>60</v>
      </c>
      <c r="AB5" s="1">
        <v>29.111498178498401</v>
      </c>
      <c r="AC5" s="1">
        <v>21.252507574338196</v>
      </c>
      <c r="AD5" s="1">
        <v>21.252507574338399</v>
      </c>
      <c r="AE5" s="1">
        <f t="shared" si="2"/>
        <v>23.872171109058332</v>
      </c>
    </row>
    <row r="6" spans="1:31" ht="15" thickBot="1" x14ac:dyDescent="0.35">
      <c r="M6" s="29">
        <v>80</v>
      </c>
      <c r="N6" s="1">
        <v>27.773106827033601</v>
      </c>
      <c r="O6" s="1">
        <v>27.837218349296023</v>
      </c>
      <c r="P6" s="1">
        <v>19.795452967816786</v>
      </c>
      <c r="Q6" s="1">
        <f t="shared" si="0"/>
        <v>25.135259381382138</v>
      </c>
      <c r="T6" s="29">
        <v>80</v>
      </c>
      <c r="U6" s="5">
        <v>30.113007796433934</v>
      </c>
      <c r="V6" s="1">
        <v>27.837218349295835</v>
      </c>
      <c r="W6" s="1">
        <v>19.795452967816786</v>
      </c>
      <c r="X6">
        <f t="shared" si="1"/>
        <v>25.915226371182186</v>
      </c>
      <c r="AA6" s="29">
        <v>80</v>
      </c>
      <c r="AB6" s="1">
        <v>30.113007796433902</v>
      </c>
      <c r="AC6" s="1">
        <v>27.837218349295835</v>
      </c>
      <c r="AD6" s="1">
        <v>24.028553038127821</v>
      </c>
      <c r="AE6" s="1">
        <f t="shared" si="2"/>
        <v>27.326259727952518</v>
      </c>
    </row>
    <row r="7" spans="1:31" ht="15" thickBot="1" x14ac:dyDescent="0.35">
      <c r="A7" s="10" t="s">
        <v>15</v>
      </c>
      <c r="B7" s="9"/>
      <c r="C7" s="17">
        <v>20</v>
      </c>
      <c r="D7" s="9"/>
      <c r="E7" s="17">
        <v>40</v>
      </c>
      <c r="F7" s="9"/>
      <c r="G7" s="17">
        <v>60</v>
      </c>
      <c r="H7" s="9"/>
      <c r="I7" s="17">
        <v>80</v>
      </c>
    </row>
    <row r="8" spans="1:31" ht="15" thickBot="1" x14ac:dyDescent="0.35">
      <c r="A8" s="11" t="s">
        <v>14</v>
      </c>
      <c r="B8" s="18" t="s">
        <v>9</v>
      </c>
      <c r="C8" s="20" t="s">
        <v>12</v>
      </c>
      <c r="D8" s="20" t="s">
        <v>9</v>
      </c>
      <c r="E8" s="19" t="s">
        <v>12</v>
      </c>
      <c r="F8" s="20" t="s">
        <v>9</v>
      </c>
      <c r="G8" s="19" t="s">
        <v>12</v>
      </c>
      <c r="H8" s="20" t="s">
        <v>9</v>
      </c>
      <c r="I8" s="19" t="s">
        <v>12</v>
      </c>
    </row>
    <row r="9" spans="1:31" x14ac:dyDescent="0.3">
      <c r="A9" s="15">
        <v>100</v>
      </c>
      <c r="B9" s="5">
        <v>0.13448774206133135</v>
      </c>
      <c r="C9" s="5">
        <v>0</v>
      </c>
      <c r="D9" s="5">
        <v>0.11085767509676595</v>
      </c>
      <c r="E9" s="5">
        <v>17.57042433933438</v>
      </c>
      <c r="F9" s="1">
        <v>0.1059057244931902</v>
      </c>
      <c r="G9" s="1">
        <v>21.252507574338409</v>
      </c>
      <c r="H9" s="1">
        <v>9.7050095650680512E-2</v>
      </c>
      <c r="I9" s="1">
        <v>27.837218349296023</v>
      </c>
    </row>
    <row r="10" spans="1:31" x14ac:dyDescent="0.3">
      <c r="A10" s="15">
        <v>150</v>
      </c>
      <c r="B10" s="5">
        <v>0.12224683896793873</v>
      </c>
      <c r="C10" s="5">
        <v>9.1018727103099106</v>
      </c>
      <c r="D10" s="1">
        <v>0.11085767509676595</v>
      </c>
      <c r="E10" s="1">
        <v>17.570424339334156</v>
      </c>
      <c r="F10" s="1">
        <v>0.1059057244931902</v>
      </c>
      <c r="G10" s="1">
        <v>21.252507574338196</v>
      </c>
      <c r="H10" s="1">
        <v>9.7050095650680512E-2</v>
      </c>
      <c r="I10" s="1">
        <v>27.837218349295835</v>
      </c>
    </row>
    <row r="11" spans="1:31" ht="15" thickBot="1" x14ac:dyDescent="0.35">
      <c r="A11" s="16">
        <v>200</v>
      </c>
      <c r="B11" s="1">
        <v>0.11204834154637418</v>
      </c>
      <c r="C11" s="1">
        <v>16.685089786639207</v>
      </c>
      <c r="D11" s="1">
        <v>0.11085767509676595</v>
      </c>
      <c r="E11" s="1">
        <v>17.570424339334156</v>
      </c>
      <c r="F11" s="1">
        <v>0.1059057244931902</v>
      </c>
      <c r="G11" s="1">
        <v>21.252507574338196</v>
      </c>
      <c r="H11" s="1">
        <v>9.7050095650680512E-2</v>
      </c>
      <c r="I11" s="1">
        <v>27.837218349295835</v>
      </c>
    </row>
    <row r="12" spans="1:31" ht="15" thickBot="1" x14ac:dyDescent="0.35"/>
    <row r="13" spans="1:31" ht="15" thickBot="1" x14ac:dyDescent="0.35">
      <c r="A13" s="10" t="s">
        <v>15</v>
      </c>
      <c r="B13" s="9"/>
      <c r="C13" s="17">
        <v>20</v>
      </c>
      <c r="D13" s="9"/>
      <c r="E13" s="17">
        <v>40</v>
      </c>
      <c r="F13" s="9"/>
      <c r="G13" s="17">
        <v>60</v>
      </c>
      <c r="H13" s="9"/>
      <c r="I13" s="17">
        <v>80</v>
      </c>
    </row>
    <row r="14" spans="1:31" x14ac:dyDescent="0.3">
      <c r="A14" s="11" t="s">
        <v>14</v>
      </c>
      <c r="B14" s="21" t="s">
        <v>9</v>
      </c>
      <c r="C14" s="22" t="s">
        <v>12</v>
      </c>
      <c r="D14" s="22" t="s">
        <v>9</v>
      </c>
      <c r="E14" s="23" t="s">
        <v>12</v>
      </c>
      <c r="F14" s="22" t="s">
        <v>9</v>
      </c>
      <c r="G14" s="23" t="s">
        <v>12</v>
      </c>
      <c r="H14" s="22" t="s">
        <v>9</v>
      </c>
      <c r="I14" s="23" t="s">
        <v>12</v>
      </c>
    </row>
    <row r="15" spans="1:31" x14ac:dyDescent="0.3">
      <c r="A15" s="12">
        <v>100</v>
      </c>
      <c r="B15" s="1">
        <v>0.13470782351416</v>
      </c>
      <c r="C15" s="1">
        <v>0</v>
      </c>
      <c r="D15" s="1">
        <v>0.11103908730444068</v>
      </c>
      <c r="E15" s="1">
        <v>17.570424339334366</v>
      </c>
      <c r="F15" s="1">
        <v>0.11070181749643972</v>
      </c>
      <c r="G15" s="1">
        <v>17.820795698029436</v>
      </c>
      <c r="H15" s="1">
        <v>0.10804179966644503</v>
      </c>
      <c r="I15" s="1">
        <v>19.795452967816786</v>
      </c>
    </row>
    <row r="16" spans="1:31" x14ac:dyDescent="0.3">
      <c r="A16" s="12">
        <v>150</v>
      </c>
      <c r="B16" s="1">
        <v>0.13470782351416027</v>
      </c>
      <c r="C16" s="1">
        <v>0</v>
      </c>
      <c r="D16" s="1">
        <v>0.11103908730444068</v>
      </c>
      <c r="E16" s="1">
        <v>17.570424339334366</v>
      </c>
      <c r="F16" s="1">
        <v>0.11070181749643972</v>
      </c>
      <c r="G16" s="1">
        <v>17.820795698029436</v>
      </c>
      <c r="H16" s="1">
        <v>0.10804179966644503</v>
      </c>
      <c r="I16" s="1">
        <v>19.795452967816786</v>
      </c>
    </row>
    <row r="17" spans="1:9" ht="15" thickBot="1" x14ac:dyDescent="0.35">
      <c r="A17" s="13">
        <v>200</v>
      </c>
      <c r="B17" s="1">
        <v>0.12244688888707217</v>
      </c>
      <c r="C17" s="1">
        <v>9.1018727103101433</v>
      </c>
      <c r="D17" s="1">
        <v>0.11103908730444068</v>
      </c>
      <c r="E17" s="1">
        <v>17.570424339334366</v>
      </c>
      <c r="F17" s="1">
        <v>0.10607903311858696</v>
      </c>
      <c r="G17" s="1">
        <v>21.252507574338399</v>
      </c>
      <c r="H17" s="1">
        <v>0.10233948269455265</v>
      </c>
      <c r="I17" s="1">
        <v>24.028553038127821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2C60-4849-4AC1-9854-649780551B3E}">
  <sheetPr>
    <tabColor rgb="FF92D050"/>
  </sheetPr>
  <dimension ref="A1:AK17"/>
  <sheetViews>
    <sheetView tabSelected="1" workbookViewId="0">
      <selection activeCell="S19" sqref="S19"/>
    </sheetView>
  </sheetViews>
  <sheetFormatPr defaultRowHeight="14.4" x14ac:dyDescent="0.3"/>
  <sheetData>
    <row r="1" spans="1:37" ht="15" thickBot="1" x14ac:dyDescent="0.35">
      <c r="A1" s="10" t="s">
        <v>15</v>
      </c>
      <c r="B1" s="9"/>
      <c r="C1" s="17">
        <v>20</v>
      </c>
      <c r="D1" s="9"/>
      <c r="E1" s="17">
        <v>40</v>
      </c>
      <c r="F1" s="9"/>
      <c r="G1" s="17">
        <v>60</v>
      </c>
      <c r="H1" s="9"/>
      <c r="I1" s="17">
        <v>80</v>
      </c>
      <c r="K1" t="s">
        <v>3</v>
      </c>
      <c r="L1" s="8" t="s">
        <v>30</v>
      </c>
      <c r="M1" s="8" t="s">
        <v>16</v>
      </c>
      <c r="N1" s="8" t="s">
        <v>26</v>
      </c>
      <c r="O1" s="8" t="s">
        <v>17</v>
      </c>
      <c r="P1" s="8" t="s">
        <v>27</v>
      </c>
      <c r="R1" t="s">
        <v>4</v>
      </c>
      <c r="S1" s="8" t="s">
        <v>30</v>
      </c>
      <c r="T1" s="8" t="s">
        <v>16</v>
      </c>
      <c r="U1" s="8" t="s">
        <v>26</v>
      </c>
      <c r="V1" s="8" t="s">
        <v>17</v>
      </c>
      <c r="W1" s="8" t="s">
        <v>27</v>
      </c>
      <c r="Y1" t="s">
        <v>5</v>
      </c>
      <c r="Z1" s="8" t="s">
        <v>30</v>
      </c>
      <c r="AA1" s="8" t="s">
        <v>16</v>
      </c>
      <c r="AB1" s="8" t="s">
        <v>26</v>
      </c>
      <c r="AC1" s="8" t="s">
        <v>17</v>
      </c>
      <c r="AD1" s="8" t="s">
        <v>27</v>
      </c>
      <c r="AF1" t="s">
        <v>6</v>
      </c>
      <c r="AG1" s="8" t="s">
        <v>30</v>
      </c>
      <c r="AH1" s="8" t="s">
        <v>16</v>
      </c>
      <c r="AI1" s="8" t="s">
        <v>26</v>
      </c>
      <c r="AJ1" s="8" t="s">
        <v>17</v>
      </c>
      <c r="AK1" s="8" t="s">
        <v>27</v>
      </c>
    </row>
    <row r="2" spans="1:37" x14ac:dyDescent="0.3">
      <c r="A2" s="11" t="s">
        <v>14</v>
      </c>
      <c r="B2" s="21" t="s">
        <v>9</v>
      </c>
      <c r="C2" s="22" t="s">
        <v>13</v>
      </c>
      <c r="D2" s="22" t="s">
        <v>9</v>
      </c>
      <c r="E2" s="23" t="s">
        <v>13</v>
      </c>
      <c r="F2" s="22" t="s">
        <v>9</v>
      </c>
      <c r="G2" s="23" t="s">
        <v>13</v>
      </c>
      <c r="H2" s="22" t="s">
        <v>9</v>
      </c>
      <c r="I2" s="23" t="s">
        <v>13</v>
      </c>
      <c r="L2" s="28" t="s">
        <v>31</v>
      </c>
      <c r="M2" s="1" t="s">
        <v>13</v>
      </c>
      <c r="N2" s="1" t="s">
        <v>13</v>
      </c>
      <c r="O2" s="1" t="s">
        <v>13</v>
      </c>
      <c r="P2" s="1" t="s">
        <v>13</v>
      </c>
      <c r="S2" s="28" t="s">
        <v>31</v>
      </c>
      <c r="T2" s="1" t="s">
        <v>13</v>
      </c>
      <c r="U2" s="1" t="s">
        <v>13</v>
      </c>
      <c r="V2" s="1" t="s">
        <v>13</v>
      </c>
      <c r="W2" s="1" t="s">
        <v>13</v>
      </c>
      <c r="Z2" s="28" t="s">
        <v>31</v>
      </c>
      <c r="AA2" s="1" t="s">
        <v>13</v>
      </c>
      <c r="AB2" s="1" t="s">
        <v>13</v>
      </c>
      <c r="AC2" s="1" t="s">
        <v>13</v>
      </c>
      <c r="AD2" s="1" t="s">
        <v>13</v>
      </c>
      <c r="AG2" s="28" t="s">
        <v>31</v>
      </c>
      <c r="AH2" s="1" t="s">
        <v>13</v>
      </c>
      <c r="AI2" s="1" t="s">
        <v>13</v>
      </c>
      <c r="AJ2" s="1" t="s">
        <v>13</v>
      </c>
      <c r="AK2" s="1" t="s">
        <v>13</v>
      </c>
    </row>
    <row r="3" spans="1:37" x14ac:dyDescent="0.3">
      <c r="A3" s="12">
        <v>100</v>
      </c>
      <c r="B3" s="1">
        <v>0.22449992545566833</v>
      </c>
      <c r="C3" s="1">
        <v>0</v>
      </c>
      <c r="D3" s="1">
        <v>0.222237476710267</v>
      </c>
      <c r="E3" s="1">
        <v>1.0077726042936299</v>
      </c>
      <c r="F3" s="1">
        <v>0.18196597650720917</v>
      </c>
      <c r="G3" s="1">
        <v>18.946086000753827</v>
      </c>
      <c r="H3" s="1">
        <v>0.16214932133225499</v>
      </c>
      <c r="I3" s="1">
        <v>27.773106827033601</v>
      </c>
      <c r="L3" s="28">
        <v>100</v>
      </c>
      <c r="M3" s="1">
        <v>0</v>
      </c>
      <c r="N3" s="5">
        <v>0</v>
      </c>
      <c r="O3" s="1">
        <v>0</v>
      </c>
      <c r="P3" s="1">
        <f>AVERAGE(M3:O3)</f>
        <v>0</v>
      </c>
      <c r="S3" s="28">
        <v>100</v>
      </c>
      <c r="T3" s="1">
        <v>1.0077726042936299</v>
      </c>
      <c r="U3" s="5">
        <v>17.57042433933438</v>
      </c>
      <c r="V3" s="1">
        <v>17.570424339334366</v>
      </c>
      <c r="W3" s="1">
        <f>AVERAGE(T3:V3)</f>
        <v>12.049540427654128</v>
      </c>
      <c r="Z3" s="28">
        <v>100</v>
      </c>
      <c r="AA3" s="1">
        <v>18.946086000753827</v>
      </c>
      <c r="AB3" s="1">
        <v>21.252507574338409</v>
      </c>
      <c r="AC3" s="1">
        <v>17.820795698029436</v>
      </c>
      <c r="AD3" s="1">
        <f>AVERAGE(AA3:AC3)</f>
        <v>19.33979642437389</v>
      </c>
      <c r="AG3" s="28">
        <v>100</v>
      </c>
      <c r="AH3" s="1">
        <v>27.773106827033601</v>
      </c>
      <c r="AI3" s="1">
        <v>27.837218349296023</v>
      </c>
      <c r="AJ3" s="1">
        <v>19.795452967816786</v>
      </c>
      <c r="AK3" s="1">
        <f>AVERAGE(AH3:AJ3)</f>
        <v>25.135259381382138</v>
      </c>
    </row>
    <row r="4" spans="1:37" x14ac:dyDescent="0.3">
      <c r="A4" s="12">
        <v>150</v>
      </c>
      <c r="B4" s="1">
        <v>0.19236768579407054</v>
      </c>
      <c r="C4" s="1">
        <v>14.312806383511646</v>
      </c>
      <c r="D4" s="1">
        <v>0.17767188254367175</v>
      </c>
      <c r="E4" s="1">
        <v>20.8588233679586</v>
      </c>
      <c r="F4" s="1">
        <v>0.1591446337459112</v>
      </c>
      <c r="G4" s="1">
        <v>29.111498178498387</v>
      </c>
      <c r="H4" s="5">
        <v>0.15689624540021455</v>
      </c>
      <c r="I4" s="5">
        <v>30.113007796433934</v>
      </c>
      <c r="L4" s="28">
        <v>150</v>
      </c>
      <c r="M4" s="1">
        <v>14.312806383511646</v>
      </c>
      <c r="N4" s="5">
        <v>9.1018727103099106</v>
      </c>
      <c r="O4" s="1">
        <v>0</v>
      </c>
      <c r="P4" s="1">
        <f t="shared" ref="P4:P5" si="0">AVERAGE(M4:O4)</f>
        <v>7.8048930312738518</v>
      </c>
      <c r="S4" s="28">
        <v>150</v>
      </c>
      <c r="T4" s="1">
        <v>20.8588233679586</v>
      </c>
      <c r="U4" s="1">
        <v>17.570424339334156</v>
      </c>
      <c r="V4" s="1">
        <v>17.570424339334366</v>
      </c>
      <c r="W4" s="1">
        <f t="shared" ref="W4:W5" si="1">AVERAGE(T4:V4)</f>
        <v>18.66655734887571</v>
      </c>
      <c r="Z4" s="28">
        <v>150</v>
      </c>
      <c r="AA4" s="1">
        <v>29.111498178498387</v>
      </c>
      <c r="AB4" s="1">
        <v>21.252507574338196</v>
      </c>
      <c r="AC4" s="1">
        <v>17.820795698029436</v>
      </c>
      <c r="AD4" s="1">
        <f t="shared" ref="AD4:AD5" si="2">AVERAGE(AA4:AC4)</f>
        <v>22.728267150288673</v>
      </c>
      <c r="AG4" s="28">
        <v>150</v>
      </c>
      <c r="AH4" s="5">
        <v>30.113007796433934</v>
      </c>
      <c r="AI4" s="1">
        <v>27.837218349295835</v>
      </c>
      <c r="AJ4" s="1">
        <v>19.795452967816786</v>
      </c>
      <c r="AK4" s="1">
        <f t="shared" ref="AK4" si="3">AVERAGE(AH4:AJ4)</f>
        <v>25.915226371182186</v>
      </c>
    </row>
    <row r="5" spans="1:37" ht="15" thickBot="1" x14ac:dyDescent="0.35">
      <c r="A5" s="13">
        <v>200</v>
      </c>
      <c r="B5" s="1">
        <v>0.19236768579407054</v>
      </c>
      <c r="C5" s="1">
        <v>14.312806383511401</v>
      </c>
      <c r="D5" s="1">
        <v>0.17767188254367175</v>
      </c>
      <c r="E5" s="1">
        <v>20.8588233679586</v>
      </c>
      <c r="F5" s="1">
        <v>0.15914463374591101</v>
      </c>
      <c r="G5" s="1">
        <v>29.111498178498401</v>
      </c>
      <c r="H5" s="5">
        <v>0.15689624540021455</v>
      </c>
      <c r="I5" s="1">
        <v>30.113007796433902</v>
      </c>
      <c r="L5" s="28">
        <v>200</v>
      </c>
      <c r="M5" s="1">
        <v>14.312806383511401</v>
      </c>
      <c r="N5" s="1">
        <v>16.685089786639207</v>
      </c>
      <c r="O5" s="1">
        <v>9.1018727103101433</v>
      </c>
      <c r="P5" s="1">
        <f t="shared" si="0"/>
        <v>13.36658962682025</v>
      </c>
      <c r="S5" s="28">
        <v>200</v>
      </c>
      <c r="T5" s="1">
        <v>20.8588233679586</v>
      </c>
      <c r="U5" s="1">
        <v>17.570424339334156</v>
      </c>
      <c r="V5" s="1">
        <v>17.570424339334366</v>
      </c>
      <c r="W5" s="1">
        <f t="shared" si="1"/>
        <v>18.66655734887571</v>
      </c>
      <c r="Z5" s="28">
        <v>200</v>
      </c>
      <c r="AA5" s="1">
        <v>29.111498178498401</v>
      </c>
      <c r="AB5" s="1">
        <v>21.252507574338196</v>
      </c>
      <c r="AC5" s="1">
        <v>21.252507574338399</v>
      </c>
      <c r="AD5" s="1">
        <f t="shared" si="2"/>
        <v>23.872171109058332</v>
      </c>
      <c r="AG5" s="28">
        <v>200</v>
      </c>
      <c r="AH5" s="1">
        <v>30.113007796433902</v>
      </c>
      <c r="AI5" s="1">
        <v>27.837218349295835</v>
      </c>
      <c r="AJ5" s="1">
        <v>24.028553038127821</v>
      </c>
      <c r="AK5" s="1">
        <f>AVERAGE(AH5:AJ5)</f>
        <v>27.326259727952518</v>
      </c>
    </row>
    <row r="6" spans="1:37" ht="15" thickBot="1" x14ac:dyDescent="0.35"/>
    <row r="7" spans="1:37" ht="15" thickBot="1" x14ac:dyDescent="0.35">
      <c r="A7" s="10" t="s">
        <v>15</v>
      </c>
      <c r="B7" s="9"/>
      <c r="C7" s="17">
        <v>20</v>
      </c>
      <c r="D7" s="9"/>
      <c r="E7" s="17">
        <v>40</v>
      </c>
      <c r="F7" s="9"/>
      <c r="G7" s="17">
        <v>60</v>
      </c>
      <c r="H7" s="9"/>
      <c r="I7" s="17">
        <v>80</v>
      </c>
    </row>
    <row r="8" spans="1:37" ht="15" thickBot="1" x14ac:dyDescent="0.35">
      <c r="A8" s="11" t="s">
        <v>14</v>
      </c>
      <c r="B8" s="18" t="s">
        <v>9</v>
      </c>
      <c r="C8" s="20" t="s">
        <v>12</v>
      </c>
      <c r="D8" s="20" t="s">
        <v>9</v>
      </c>
      <c r="E8" s="19" t="s">
        <v>12</v>
      </c>
      <c r="F8" s="20" t="s">
        <v>9</v>
      </c>
      <c r="G8" s="19" t="s">
        <v>12</v>
      </c>
      <c r="H8" s="20" t="s">
        <v>9</v>
      </c>
      <c r="I8" s="19" t="s">
        <v>12</v>
      </c>
    </row>
    <row r="9" spans="1:37" x14ac:dyDescent="0.3">
      <c r="A9" s="15">
        <v>100</v>
      </c>
      <c r="B9" s="5">
        <v>0.13448774206133135</v>
      </c>
      <c r="C9" s="5">
        <v>0</v>
      </c>
      <c r="D9" s="5">
        <v>0.11085767509676595</v>
      </c>
      <c r="E9" s="5">
        <v>17.57042433933438</v>
      </c>
      <c r="F9" s="1">
        <v>0.1059057244931902</v>
      </c>
      <c r="G9" s="1">
        <v>21.252507574338409</v>
      </c>
      <c r="H9" s="1">
        <v>9.7050095650680512E-2</v>
      </c>
      <c r="I9" s="1">
        <v>27.837218349296023</v>
      </c>
    </row>
    <row r="10" spans="1:37" x14ac:dyDescent="0.3">
      <c r="A10" s="15">
        <v>150</v>
      </c>
      <c r="B10" s="5">
        <v>0.12224683896793873</v>
      </c>
      <c r="C10" s="5">
        <v>9.1018727103099106</v>
      </c>
      <c r="D10" s="1">
        <v>0.11085767509676595</v>
      </c>
      <c r="E10" s="1">
        <v>17.570424339334156</v>
      </c>
      <c r="F10" s="1">
        <v>0.1059057244931902</v>
      </c>
      <c r="G10" s="1">
        <v>21.252507574338196</v>
      </c>
      <c r="H10" s="1">
        <v>9.7050095650680512E-2</v>
      </c>
      <c r="I10" s="1">
        <v>27.837218349295835</v>
      </c>
    </row>
    <row r="11" spans="1:37" ht="15" thickBot="1" x14ac:dyDescent="0.35">
      <c r="A11" s="16">
        <v>200</v>
      </c>
      <c r="B11" s="1">
        <v>0.11204834154637418</v>
      </c>
      <c r="C11" s="1">
        <v>16.685089786639207</v>
      </c>
      <c r="D11" s="1">
        <v>0.11085767509676595</v>
      </c>
      <c r="E11" s="1">
        <v>17.570424339334156</v>
      </c>
      <c r="F11" s="1">
        <v>0.1059057244931902</v>
      </c>
      <c r="G11" s="1">
        <v>21.252507574338196</v>
      </c>
      <c r="H11" s="1">
        <v>9.7050095650680512E-2</v>
      </c>
      <c r="I11" s="1">
        <v>27.837218349295835</v>
      </c>
    </row>
    <row r="12" spans="1:37" ht="15" thickBot="1" x14ac:dyDescent="0.35"/>
    <row r="13" spans="1:37" ht="15" thickBot="1" x14ac:dyDescent="0.35">
      <c r="A13" s="10" t="s">
        <v>15</v>
      </c>
      <c r="B13" s="9"/>
      <c r="C13" s="17">
        <v>20</v>
      </c>
      <c r="D13" s="9"/>
      <c r="E13" s="17">
        <v>40</v>
      </c>
      <c r="F13" s="9"/>
      <c r="G13" s="17">
        <v>60</v>
      </c>
      <c r="H13" s="9"/>
      <c r="I13" s="17">
        <v>80</v>
      </c>
    </row>
    <row r="14" spans="1:37" x14ac:dyDescent="0.3">
      <c r="A14" s="11" t="s">
        <v>14</v>
      </c>
      <c r="B14" s="21" t="s">
        <v>9</v>
      </c>
      <c r="C14" s="22" t="s">
        <v>12</v>
      </c>
      <c r="D14" s="22" t="s">
        <v>9</v>
      </c>
      <c r="E14" s="23" t="s">
        <v>12</v>
      </c>
      <c r="F14" s="22" t="s">
        <v>9</v>
      </c>
      <c r="G14" s="23" t="s">
        <v>12</v>
      </c>
      <c r="H14" s="22" t="s">
        <v>9</v>
      </c>
      <c r="I14" s="23" t="s">
        <v>12</v>
      </c>
    </row>
    <row r="15" spans="1:37" x14ac:dyDescent="0.3">
      <c r="A15" s="12">
        <v>100</v>
      </c>
      <c r="B15" s="1">
        <v>0.13470782351416</v>
      </c>
      <c r="C15" s="1">
        <v>0</v>
      </c>
      <c r="D15" s="1">
        <v>0.11103908730444068</v>
      </c>
      <c r="E15" s="1">
        <v>17.570424339334366</v>
      </c>
      <c r="F15" s="1">
        <v>0.11070181749643972</v>
      </c>
      <c r="G15" s="1">
        <v>17.820795698029436</v>
      </c>
      <c r="H15" s="1">
        <v>0.10804179966644503</v>
      </c>
      <c r="I15" s="1">
        <v>19.795452967816786</v>
      </c>
    </row>
    <row r="16" spans="1:37" x14ac:dyDescent="0.3">
      <c r="A16" s="12">
        <v>150</v>
      </c>
      <c r="B16" s="1">
        <v>0.13470782351416027</v>
      </c>
      <c r="C16" s="1">
        <v>0</v>
      </c>
      <c r="D16" s="1">
        <v>0.11103908730444068</v>
      </c>
      <c r="E16" s="1">
        <v>17.570424339334366</v>
      </c>
      <c r="F16" s="1">
        <v>0.11070181749643972</v>
      </c>
      <c r="G16" s="1">
        <v>17.820795698029436</v>
      </c>
      <c r="H16" s="1">
        <v>0.10804179966644503</v>
      </c>
      <c r="I16" s="1">
        <v>19.795452967816786</v>
      </c>
    </row>
    <row r="17" spans="1:9" ht="15" thickBot="1" x14ac:dyDescent="0.35">
      <c r="A17" s="13">
        <v>200</v>
      </c>
      <c r="B17" s="1">
        <v>0.12244688888707217</v>
      </c>
      <c r="C17" s="1">
        <v>9.1018727103101433</v>
      </c>
      <c r="D17" s="1">
        <v>0.11103908730444068</v>
      </c>
      <c r="E17" s="1">
        <v>17.570424339334366</v>
      </c>
      <c r="F17" s="1">
        <v>0.10607903311858696</v>
      </c>
      <c r="G17" s="1">
        <v>21.252507574338399</v>
      </c>
      <c r="H17" s="1">
        <v>0.10233948269455265</v>
      </c>
      <c r="I17" s="1">
        <v>24.028553038127821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0A77-D580-4CB9-B532-233CB9208D6E}">
  <dimension ref="A1:O30"/>
  <sheetViews>
    <sheetView workbookViewId="0">
      <selection sqref="A1:I17"/>
    </sheetView>
  </sheetViews>
  <sheetFormatPr defaultRowHeight="14.4" x14ac:dyDescent="0.3"/>
  <cols>
    <col min="1" max="1" width="12" bestFit="1" customWidth="1"/>
    <col min="5" max="5" width="12" bestFit="1" customWidth="1"/>
    <col min="9" max="9" width="12" bestFit="1" customWidth="1"/>
    <col min="14" max="14" width="12" bestFit="1" customWidth="1"/>
  </cols>
  <sheetData>
    <row r="1" spans="1:9" x14ac:dyDescent="0.3">
      <c r="A1" s="26" t="s">
        <v>15</v>
      </c>
      <c r="B1" s="43" t="s">
        <v>3</v>
      </c>
      <c r="C1" s="44"/>
      <c r="D1" s="43" t="s">
        <v>4</v>
      </c>
      <c r="E1" s="44"/>
      <c r="F1" s="43" t="s">
        <v>5</v>
      </c>
      <c r="G1" s="44"/>
      <c r="H1" s="43" t="s">
        <v>6</v>
      </c>
      <c r="I1" s="44"/>
    </row>
    <row r="2" spans="1:9" x14ac:dyDescent="0.3">
      <c r="A2" s="34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9" x14ac:dyDescent="0.3">
      <c r="A3" s="34">
        <v>0</v>
      </c>
      <c r="B3" s="1">
        <v>0</v>
      </c>
      <c r="C3" s="1">
        <v>1</v>
      </c>
      <c r="D3" s="1">
        <v>0</v>
      </c>
      <c r="E3" s="1">
        <v>1</v>
      </c>
      <c r="F3" s="1">
        <v>0</v>
      </c>
      <c r="G3" s="1">
        <v>1</v>
      </c>
      <c r="H3" s="1">
        <v>2</v>
      </c>
      <c r="I3" s="1">
        <v>5</v>
      </c>
    </row>
    <row r="4" spans="1:9" x14ac:dyDescent="0.3">
      <c r="A4" s="34">
        <f>A3+10</f>
        <v>10</v>
      </c>
      <c r="B4" s="1">
        <v>0</v>
      </c>
      <c r="C4" s="1">
        <v>1</v>
      </c>
      <c r="D4" s="1">
        <v>6</v>
      </c>
      <c r="E4" s="1">
        <v>1.2</v>
      </c>
      <c r="F4" s="1">
        <v>5</v>
      </c>
      <c r="G4" s="1">
        <v>1.4</v>
      </c>
      <c r="H4" s="5">
        <v>4.0999999999999996</v>
      </c>
      <c r="I4" s="1">
        <v>5.5</v>
      </c>
    </row>
    <row r="5" spans="1:9" x14ac:dyDescent="0.3">
      <c r="A5" s="34">
        <f t="shared" ref="A5:A17" si="0">A4+10</f>
        <v>20</v>
      </c>
      <c r="B5" s="1">
        <v>0</v>
      </c>
      <c r="C5" s="1">
        <v>1</v>
      </c>
      <c r="D5" s="1">
        <v>6</v>
      </c>
      <c r="E5" s="1">
        <v>2</v>
      </c>
      <c r="F5" s="1">
        <v>5</v>
      </c>
      <c r="G5" s="1">
        <v>2.2000000000000002</v>
      </c>
      <c r="H5" s="5">
        <v>4.0999999999999996</v>
      </c>
      <c r="I5" s="1">
        <v>6.5</v>
      </c>
    </row>
    <row r="6" spans="1:9" x14ac:dyDescent="0.3">
      <c r="A6" s="34">
        <f t="shared" si="0"/>
        <v>30</v>
      </c>
      <c r="B6" s="1">
        <v>1</v>
      </c>
      <c r="C6" s="1">
        <v>1</v>
      </c>
      <c r="D6" s="1">
        <v>6</v>
      </c>
      <c r="E6" s="1">
        <v>2.8</v>
      </c>
      <c r="F6" s="1"/>
      <c r="G6" s="1"/>
      <c r="H6" s="5">
        <v>4.0999999999999996</v>
      </c>
      <c r="I6" s="1">
        <v>7.5</v>
      </c>
    </row>
    <row r="7" spans="1:9" x14ac:dyDescent="0.3">
      <c r="A7" s="34">
        <f t="shared" si="0"/>
        <v>40</v>
      </c>
      <c r="B7" s="1">
        <v>1</v>
      </c>
      <c r="C7" s="1">
        <v>1</v>
      </c>
      <c r="D7" s="1">
        <v>6</v>
      </c>
      <c r="E7" s="1">
        <v>3.2</v>
      </c>
      <c r="F7" s="1"/>
      <c r="G7" s="1"/>
      <c r="H7" s="1"/>
      <c r="I7" s="1"/>
    </row>
    <row r="8" spans="1:9" x14ac:dyDescent="0.3">
      <c r="A8" s="34">
        <f>A7+10</f>
        <v>50</v>
      </c>
      <c r="B8" s="1">
        <v>3</v>
      </c>
      <c r="C8" s="1">
        <v>1</v>
      </c>
      <c r="D8" s="1"/>
      <c r="E8" s="1"/>
      <c r="F8" s="1"/>
      <c r="G8" s="1"/>
      <c r="H8" s="1"/>
      <c r="I8" s="1"/>
    </row>
    <row r="9" spans="1:9" x14ac:dyDescent="0.3">
      <c r="A9" s="34">
        <f t="shared" si="0"/>
        <v>60</v>
      </c>
      <c r="B9" s="1">
        <v>4</v>
      </c>
      <c r="C9" s="1">
        <v>1</v>
      </c>
      <c r="D9" s="1"/>
      <c r="E9" s="1"/>
      <c r="F9" s="1"/>
      <c r="G9" s="1"/>
      <c r="H9" s="1"/>
      <c r="I9" s="1"/>
    </row>
    <row r="10" spans="1:9" x14ac:dyDescent="0.3">
      <c r="A10" s="34">
        <f t="shared" si="0"/>
        <v>70</v>
      </c>
      <c r="B10" s="1">
        <v>5</v>
      </c>
      <c r="C10" s="1">
        <v>1</v>
      </c>
      <c r="D10" s="1"/>
      <c r="E10" s="1"/>
      <c r="F10" s="1"/>
      <c r="G10" s="1"/>
      <c r="H10" s="1"/>
      <c r="I10" s="1"/>
    </row>
    <row r="11" spans="1:9" x14ac:dyDescent="0.3">
      <c r="A11" s="34">
        <f t="shared" si="0"/>
        <v>80</v>
      </c>
      <c r="B11" s="1">
        <v>5</v>
      </c>
      <c r="C11" s="1">
        <v>1</v>
      </c>
      <c r="D11" s="1"/>
      <c r="E11" s="1"/>
      <c r="F11" s="1"/>
      <c r="G11" s="1"/>
      <c r="H11" s="1"/>
      <c r="I11" s="1"/>
    </row>
    <row r="12" spans="1:9" x14ac:dyDescent="0.3">
      <c r="A12" s="34">
        <f t="shared" si="0"/>
        <v>90</v>
      </c>
      <c r="B12" s="1">
        <v>6</v>
      </c>
      <c r="C12" s="1">
        <v>1</v>
      </c>
      <c r="D12" s="1"/>
      <c r="E12" s="1"/>
      <c r="F12" s="1"/>
      <c r="G12" s="1"/>
      <c r="H12" s="1"/>
      <c r="I12" s="1"/>
    </row>
    <row r="13" spans="1:9" x14ac:dyDescent="0.3">
      <c r="A13" s="34">
        <f t="shared" si="0"/>
        <v>100</v>
      </c>
      <c r="B13" s="1">
        <v>7</v>
      </c>
      <c r="C13" s="1">
        <v>1</v>
      </c>
      <c r="D13" s="1"/>
      <c r="E13" s="1"/>
      <c r="F13" s="1"/>
      <c r="G13" s="1"/>
      <c r="H13" s="1"/>
      <c r="I13" s="1"/>
    </row>
    <row r="14" spans="1:9" x14ac:dyDescent="0.3">
      <c r="A14" s="34">
        <f t="shared" si="0"/>
        <v>110</v>
      </c>
      <c r="B14" s="1">
        <v>8</v>
      </c>
      <c r="C14" s="1">
        <v>1</v>
      </c>
      <c r="D14" s="1"/>
      <c r="E14" s="1"/>
      <c r="F14" s="1"/>
      <c r="G14" s="1"/>
      <c r="H14" s="1"/>
      <c r="I14" s="1"/>
    </row>
    <row r="15" spans="1:9" x14ac:dyDescent="0.3">
      <c r="A15" s="34">
        <f t="shared" si="0"/>
        <v>120</v>
      </c>
      <c r="B15" s="1">
        <v>8</v>
      </c>
      <c r="C15" s="1">
        <v>1</v>
      </c>
      <c r="D15" s="1"/>
      <c r="E15" s="1"/>
      <c r="F15" s="1"/>
      <c r="G15" s="1"/>
      <c r="H15" s="1"/>
      <c r="I15" s="1"/>
    </row>
    <row r="16" spans="1:9" x14ac:dyDescent="0.3">
      <c r="A16" s="35">
        <f t="shared" si="0"/>
        <v>130</v>
      </c>
      <c r="B16" s="33">
        <v>8</v>
      </c>
      <c r="C16" s="33">
        <v>1</v>
      </c>
      <c r="D16" s="33"/>
      <c r="E16" s="33"/>
      <c r="F16" s="33"/>
      <c r="G16" s="33"/>
      <c r="H16" s="33"/>
      <c r="I16" s="33"/>
    </row>
    <row r="17" spans="1:15" x14ac:dyDescent="0.3">
      <c r="A17" s="34">
        <f t="shared" si="0"/>
        <v>140</v>
      </c>
      <c r="B17" s="1">
        <v>8</v>
      </c>
      <c r="C17" s="1">
        <v>1.6</v>
      </c>
      <c r="D17" s="1"/>
      <c r="E17" s="1"/>
      <c r="F17" s="1"/>
      <c r="G17" s="1"/>
      <c r="H17" s="1"/>
      <c r="I17" s="1"/>
    </row>
    <row r="18" spans="1:15" x14ac:dyDescent="0.3">
      <c r="A18" s="3"/>
      <c r="B18" s="3"/>
      <c r="C18" s="3"/>
      <c r="D18" s="3"/>
      <c r="E18" s="3"/>
      <c r="F18" s="3"/>
      <c r="G18" s="3"/>
      <c r="H18" s="3"/>
      <c r="I18" s="3"/>
    </row>
    <row r="19" spans="1:15" x14ac:dyDescent="0.3">
      <c r="A19" s="3"/>
      <c r="B19" s="3"/>
      <c r="C19" s="3"/>
      <c r="D19" s="3"/>
      <c r="E19" s="3"/>
      <c r="F19" s="3"/>
      <c r="G19" s="3"/>
      <c r="H19" s="3"/>
      <c r="I19" s="3"/>
    </row>
    <row r="21" spans="1:15" x14ac:dyDescent="0.3">
      <c r="A21" t="s">
        <v>9</v>
      </c>
      <c r="E21" t="s">
        <v>9</v>
      </c>
      <c r="I21" t="s">
        <v>9</v>
      </c>
      <c r="N21" t="s">
        <v>9</v>
      </c>
    </row>
    <row r="22" spans="1:15" x14ac:dyDescent="0.3">
      <c r="A22">
        <f>(5*1.074*0.099992*0.000000001)/(60*60*1124.466*698675*0.000001)</f>
        <v>1.8985214487448363E-16</v>
      </c>
      <c r="B22" t="s">
        <v>8</v>
      </c>
      <c r="E22">
        <f>(5*0.708*0.099992*0.000000001)/(60*60*1124.466*498675*0.000001)</f>
        <v>1.7534851472358425E-16</v>
      </c>
      <c r="F22" t="s">
        <v>8</v>
      </c>
      <c r="I22">
        <f>(5*0.507*0.099992*0.000000001)/(60*60*1124.466*398675*0.000001)</f>
        <v>1.5706354181683808E-16</v>
      </c>
      <c r="J22" t="s">
        <v>8</v>
      </c>
      <c r="N22">
        <f>(5*0.387*0.099992*0.000000001)/(60*60*1124.466*308675*0.000001)</f>
        <v>1.5484455504585694E-16</v>
      </c>
      <c r="O22" t="s">
        <v>8</v>
      </c>
    </row>
    <row r="23" spans="1:15" x14ac:dyDescent="0.3">
      <c r="A23">
        <f>A22*1013250000000000</f>
        <v>0.19236768579407054</v>
      </c>
      <c r="B23" t="s">
        <v>7</v>
      </c>
      <c r="E23">
        <f>E22*1013250000000000</f>
        <v>0.17767188254367175</v>
      </c>
      <c r="F23" t="s">
        <v>7</v>
      </c>
      <c r="I23">
        <f>I22*1013250000000000</f>
        <v>0.1591446337459112</v>
      </c>
      <c r="J23" t="s">
        <v>7</v>
      </c>
      <c r="N23" s="4">
        <f>N22*1013250000000000</f>
        <v>0.15689624540021455</v>
      </c>
      <c r="O23" t="s">
        <v>7</v>
      </c>
    </row>
    <row r="26" spans="1:15" x14ac:dyDescent="0.3">
      <c r="A26" s="1" t="s">
        <v>10</v>
      </c>
      <c r="B26" s="1" t="s">
        <v>11</v>
      </c>
      <c r="C26" s="1" t="s">
        <v>12</v>
      </c>
      <c r="D26" s="2" t="s">
        <v>13</v>
      </c>
    </row>
    <row r="27" spans="1:15" x14ac:dyDescent="0.3">
      <c r="A27" s="1">
        <v>20</v>
      </c>
      <c r="B27" s="1">
        <v>0.19236768579407054</v>
      </c>
      <c r="C27" s="1">
        <f>1-(B27/'AL4 100bar'!B18)</f>
        <v>0.14312806383511645</v>
      </c>
      <c r="D27" s="1">
        <f>C27*100</f>
        <v>14.312806383511646</v>
      </c>
      <c r="N27" s="4"/>
    </row>
    <row r="28" spans="1:15" x14ac:dyDescent="0.3">
      <c r="A28" s="1">
        <v>40</v>
      </c>
      <c r="B28" s="1">
        <v>0.17767188254367175</v>
      </c>
      <c r="C28" s="1">
        <f>1-(B28/'AL4 100bar'!B18)</f>
        <v>0.20858823367958601</v>
      </c>
      <c r="D28" s="1">
        <f t="shared" ref="D28:D30" si="1">C28*100</f>
        <v>20.8588233679586</v>
      </c>
    </row>
    <row r="29" spans="1:15" x14ac:dyDescent="0.3">
      <c r="A29" s="1">
        <v>60</v>
      </c>
      <c r="B29" s="1">
        <v>0.1591446337459112</v>
      </c>
      <c r="C29" s="1">
        <f>1-(B29/'AL4 100bar'!B18)</f>
        <v>0.29111498178498385</v>
      </c>
      <c r="D29" s="1">
        <f t="shared" si="1"/>
        <v>29.111498178498387</v>
      </c>
    </row>
    <row r="30" spans="1:15" x14ac:dyDescent="0.3">
      <c r="A30" s="1">
        <v>80</v>
      </c>
      <c r="B30" s="5">
        <v>0.15689624540021455</v>
      </c>
      <c r="C30" s="5">
        <f>1-(B30/'AL4 100bar'!B18)</f>
        <v>0.30113007796433933</v>
      </c>
      <c r="D30" s="5">
        <f t="shared" si="1"/>
        <v>30.113007796433934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930D0-BA61-4A77-8AB1-E86C0E11A999}">
  <dimension ref="A1:O24"/>
  <sheetViews>
    <sheetView topLeftCell="A4" workbookViewId="0">
      <selection sqref="A1:I7"/>
    </sheetView>
  </sheetViews>
  <sheetFormatPr defaultRowHeight="14.4" x14ac:dyDescent="0.3"/>
  <cols>
    <col min="1" max="1" width="12" bestFit="1" customWidth="1"/>
    <col min="5" max="5" width="12" bestFit="1" customWidth="1"/>
    <col min="9" max="9" width="12" bestFit="1" customWidth="1"/>
    <col min="14" max="14" width="12" bestFit="1" customWidth="1"/>
  </cols>
  <sheetData>
    <row r="1" spans="1:15" x14ac:dyDescent="0.3">
      <c r="A1" s="26" t="s">
        <v>15</v>
      </c>
      <c r="B1" s="43" t="s">
        <v>3</v>
      </c>
      <c r="C1" s="44"/>
      <c r="D1" s="43" t="s">
        <v>4</v>
      </c>
      <c r="E1" s="44"/>
      <c r="F1" s="43" t="s">
        <v>5</v>
      </c>
      <c r="G1" s="44"/>
      <c r="H1" s="43" t="s">
        <v>6</v>
      </c>
      <c r="I1" s="44"/>
    </row>
    <row r="2" spans="1:15" x14ac:dyDescent="0.3">
      <c r="A2" s="34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5" x14ac:dyDescent="0.3">
      <c r="A3" s="34">
        <v>0</v>
      </c>
      <c r="B3" s="1">
        <v>1</v>
      </c>
      <c r="C3" s="1">
        <v>1</v>
      </c>
      <c r="D3" s="1">
        <v>0</v>
      </c>
      <c r="E3" s="1">
        <v>0</v>
      </c>
      <c r="F3" s="1">
        <v>2</v>
      </c>
      <c r="G3" s="1">
        <v>5</v>
      </c>
      <c r="H3" s="1">
        <v>2</v>
      </c>
      <c r="I3" s="1">
        <v>5</v>
      </c>
    </row>
    <row r="4" spans="1:15" x14ac:dyDescent="0.3">
      <c r="A4" s="34">
        <f>A3+10</f>
        <v>10</v>
      </c>
      <c r="B4" s="1">
        <v>7</v>
      </c>
      <c r="C4" s="1">
        <v>1.2</v>
      </c>
      <c r="D4" s="1">
        <v>5</v>
      </c>
      <c r="E4" s="1">
        <v>1.2</v>
      </c>
      <c r="F4" s="1">
        <v>5</v>
      </c>
      <c r="G4" s="1">
        <v>5</v>
      </c>
      <c r="H4" s="5">
        <v>4.0999999999999996</v>
      </c>
      <c r="I4" s="1">
        <v>5.5</v>
      </c>
    </row>
    <row r="5" spans="1:15" x14ac:dyDescent="0.3">
      <c r="A5" s="34">
        <f t="shared" ref="A5:A7" si="0">A4+10</f>
        <v>20</v>
      </c>
      <c r="B5" s="1">
        <v>8</v>
      </c>
      <c r="C5" s="1">
        <v>2</v>
      </c>
      <c r="D5" s="1">
        <v>6</v>
      </c>
      <c r="E5" s="1">
        <v>2</v>
      </c>
      <c r="F5" s="1">
        <v>5</v>
      </c>
      <c r="G5" s="1">
        <v>5.5</v>
      </c>
      <c r="H5" s="5">
        <v>4.0999999999999996</v>
      </c>
      <c r="I5" s="1">
        <v>6.5</v>
      </c>
    </row>
    <row r="6" spans="1:15" x14ac:dyDescent="0.3">
      <c r="A6" s="35">
        <f t="shared" si="0"/>
        <v>30</v>
      </c>
      <c r="B6" s="33">
        <v>8</v>
      </c>
      <c r="C6" s="33">
        <v>3.6</v>
      </c>
      <c r="D6" s="33">
        <v>6</v>
      </c>
      <c r="E6" s="33">
        <v>2.8</v>
      </c>
      <c r="F6" s="33">
        <v>5</v>
      </c>
      <c r="G6" s="33">
        <v>6</v>
      </c>
      <c r="H6" s="36">
        <v>4.0999999999999996</v>
      </c>
      <c r="I6" s="33">
        <v>7</v>
      </c>
    </row>
    <row r="7" spans="1:15" x14ac:dyDescent="0.3">
      <c r="A7" s="34">
        <f t="shared" si="0"/>
        <v>40</v>
      </c>
      <c r="B7" s="1">
        <v>8</v>
      </c>
      <c r="C7" s="1">
        <v>4.4000000000000004</v>
      </c>
      <c r="D7" s="1">
        <v>6</v>
      </c>
      <c r="E7" s="1">
        <v>3.6</v>
      </c>
      <c r="F7" s="1">
        <v>5</v>
      </c>
      <c r="G7" s="1">
        <v>6.5</v>
      </c>
      <c r="H7" s="5">
        <v>4.0999999999999996</v>
      </c>
      <c r="I7" s="1"/>
    </row>
    <row r="8" spans="1:15" x14ac:dyDescent="0.3">
      <c r="A8" s="24"/>
      <c r="B8" s="24"/>
      <c r="C8" s="24"/>
      <c r="D8" s="24"/>
      <c r="E8" s="24"/>
      <c r="F8" s="24"/>
      <c r="G8" s="24"/>
      <c r="H8" s="24"/>
      <c r="I8" s="24"/>
    </row>
    <row r="9" spans="1:15" x14ac:dyDescent="0.3">
      <c r="A9" s="24"/>
      <c r="B9" s="24"/>
      <c r="C9" s="24"/>
      <c r="D9" s="24"/>
      <c r="E9" s="24"/>
      <c r="F9" s="24"/>
      <c r="G9" s="24"/>
      <c r="H9" s="24"/>
      <c r="I9" s="24"/>
    </row>
    <row r="10" spans="1:15" x14ac:dyDescent="0.3">
      <c r="A10" s="24"/>
      <c r="B10" s="24"/>
      <c r="C10" s="24"/>
      <c r="D10" s="24"/>
      <c r="E10" s="24"/>
      <c r="F10" s="24"/>
      <c r="G10" s="24"/>
      <c r="H10" s="24"/>
      <c r="I10" s="24"/>
      <c r="M10">
        <f t="shared" ref="M10" si="1">M9+10</f>
        <v>10</v>
      </c>
    </row>
    <row r="11" spans="1:15" x14ac:dyDescent="0.3">
      <c r="A11" s="24"/>
      <c r="B11" s="24"/>
      <c r="C11" s="24"/>
      <c r="D11" s="24"/>
      <c r="E11" s="24"/>
      <c r="F11" s="24"/>
      <c r="G11" s="24"/>
      <c r="H11" s="24"/>
      <c r="I11" s="24"/>
    </row>
    <row r="12" spans="1:15" x14ac:dyDescent="0.3">
      <c r="A12" t="s">
        <v>9</v>
      </c>
      <c r="E12" t="s">
        <v>9</v>
      </c>
      <c r="I12" t="s">
        <v>9</v>
      </c>
      <c r="N12" t="s">
        <v>9</v>
      </c>
    </row>
    <row r="13" spans="1:15" x14ac:dyDescent="0.3">
      <c r="A13">
        <f>(5*1.074*0.099992*0.000000001)/(60*60*1124.466*698675*0.000001)</f>
        <v>1.8985214487448363E-16</v>
      </c>
      <c r="B13" t="s">
        <v>8</v>
      </c>
      <c r="E13">
        <f>(5*0.708*0.099992*0.000000001)/(60*60*1124.466*498675*0.000001)</f>
        <v>1.7534851472358425E-16</v>
      </c>
      <c r="F13" t="s">
        <v>8</v>
      </c>
      <c r="I13">
        <f>(5*0.507*0.099992*0.000000001)/(60*60*1124.466*398675*0.000001)</f>
        <v>1.5706354181683808E-16</v>
      </c>
      <c r="J13" t="s">
        <v>8</v>
      </c>
      <c r="N13">
        <f>(5*0.387*0.099992*0.000000001)/(60*60*1124.466*308675*0.000001)</f>
        <v>1.5484455504585694E-16</v>
      </c>
      <c r="O13" t="s">
        <v>8</v>
      </c>
    </row>
    <row r="14" spans="1:15" x14ac:dyDescent="0.3">
      <c r="A14">
        <f>A13*1013250000000000</f>
        <v>0.19236768579407054</v>
      </c>
      <c r="B14" t="s">
        <v>7</v>
      </c>
      <c r="E14">
        <f>E13*1013250000000000</f>
        <v>0.17767188254367175</v>
      </c>
      <c r="F14" t="s">
        <v>7</v>
      </c>
      <c r="I14">
        <f>I13*1013250000000000</f>
        <v>0.1591446337459112</v>
      </c>
      <c r="J14" t="s">
        <v>7</v>
      </c>
      <c r="N14" s="4">
        <f>N13*1013250000000000</f>
        <v>0.15689624540021455</v>
      </c>
      <c r="O14" t="s">
        <v>7</v>
      </c>
    </row>
    <row r="17" spans="1:14" x14ac:dyDescent="0.3">
      <c r="N17" s="4"/>
    </row>
    <row r="20" spans="1:14" x14ac:dyDescent="0.3">
      <c r="A20" s="1" t="s">
        <v>10</v>
      </c>
      <c r="B20" s="1" t="s">
        <v>11</v>
      </c>
      <c r="C20" s="1" t="s">
        <v>12</v>
      </c>
      <c r="D20" s="2" t="s">
        <v>13</v>
      </c>
    </row>
    <row r="21" spans="1:14" x14ac:dyDescent="0.3">
      <c r="A21" s="1">
        <v>20</v>
      </c>
      <c r="B21" s="1">
        <v>0.19236768579407054</v>
      </c>
      <c r="C21" s="1">
        <f>1-(B21/'AL4 100bar'!B18)</f>
        <v>0.14312806383511645</v>
      </c>
      <c r="D21" s="1">
        <f>C21*100</f>
        <v>14.312806383511646</v>
      </c>
    </row>
    <row r="22" spans="1:14" x14ac:dyDescent="0.3">
      <c r="A22" s="1">
        <v>40</v>
      </c>
      <c r="B22" s="1">
        <v>0.17767188254367175</v>
      </c>
      <c r="C22" s="1">
        <f>1-(B22/'AL4 100bar'!B18)</f>
        <v>0.20858823367958601</v>
      </c>
      <c r="D22" s="1">
        <f t="shared" ref="D22:D24" si="2">C22*100</f>
        <v>20.8588233679586</v>
      </c>
    </row>
    <row r="23" spans="1:14" x14ac:dyDescent="0.3">
      <c r="A23" s="1">
        <v>60</v>
      </c>
      <c r="B23" s="1">
        <v>0.1591446337459112</v>
      </c>
      <c r="C23" s="1">
        <f>1-(B23/'AL4 100bar'!B18)</f>
        <v>0.29111498178498385</v>
      </c>
      <c r="D23" s="1">
        <f t="shared" si="2"/>
        <v>29.111498178498387</v>
      </c>
    </row>
    <row r="24" spans="1:14" x14ac:dyDescent="0.3">
      <c r="A24" s="1">
        <v>80</v>
      </c>
      <c r="B24" s="5">
        <v>0.15689624540021455</v>
      </c>
      <c r="C24" s="5">
        <f>1-(B24/'AL4 100bar'!B18)</f>
        <v>0.30113007796433933</v>
      </c>
      <c r="D24" s="5">
        <f t="shared" si="2"/>
        <v>30.113007796433934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37528-95D7-45B2-9FDF-E3C3A2B1DF84}">
  <sheetPr>
    <tabColor rgb="FFC00000"/>
  </sheetPr>
  <dimension ref="A1:T24"/>
  <sheetViews>
    <sheetView workbookViewId="0">
      <selection activeCell="M29" sqref="M29"/>
    </sheetView>
  </sheetViews>
  <sheetFormatPr defaultRowHeight="14.4" x14ac:dyDescent="0.3"/>
  <sheetData>
    <row r="1" spans="1:20" ht="15" thickBot="1" x14ac:dyDescent="0.35">
      <c r="A1" s="10" t="s">
        <v>15</v>
      </c>
      <c r="B1" s="9"/>
      <c r="C1" s="17">
        <v>20</v>
      </c>
      <c r="D1" s="9"/>
      <c r="E1" s="17">
        <v>40</v>
      </c>
      <c r="F1" s="9"/>
      <c r="G1" s="17">
        <v>60</v>
      </c>
      <c r="H1" s="9"/>
      <c r="I1" s="17">
        <v>80</v>
      </c>
      <c r="K1" s="3"/>
      <c r="L1" s="3"/>
      <c r="M1" s="24"/>
      <c r="N1" s="3"/>
      <c r="O1" s="3"/>
      <c r="P1" s="24"/>
      <c r="Q1" s="3"/>
      <c r="R1" s="3"/>
      <c r="S1" s="24"/>
      <c r="T1" s="3"/>
    </row>
    <row r="2" spans="1:20" x14ac:dyDescent="0.3">
      <c r="A2" s="11" t="s">
        <v>14</v>
      </c>
      <c r="B2" s="21" t="s">
        <v>9</v>
      </c>
      <c r="C2" s="22" t="s">
        <v>13</v>
      </c>
      <c r="D2" s="22" t="s">
        <v>9</v>
      </c>
      <c r="E2" s="23" t="s">
        <v>13</v>
      </c>
      <c r="F2" s="22" t="s">
        <v>9</v>
      </c>
      <c r="G2" s="23" t="s">
        <v>13</v>
      </c>
      <c r="H2" s="22" t="s">
        <v>9</v>
      </c>
      <c r="I2" s="23" t="s">
        <v>13</v>
      </c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x14ac:dyDescent="0.3">
      <c r="A3" s="12">
        <v>100</v>
      </c>
      <c r="B3" s="1">
        <v>0.22449992545566833</v>
      </c>
      <c r="C3" s="1">
        <v>0</v>
      </c>
      <c r="D3" s="1">
        <v>0.222237476710267</v>
      </c>
      <c r="E3" s="1">
        <v>1.0077726042936299</v>
      </c>
      <c r="F3" s="1">
        <v>0.18196597650720917</v>
      </c>
      <c r="G3" s="1">
        <v>18.946086000753827</v>
      </c>
      <c r="H3" s="1">
        <v>0.16214932133225499</v>
      </c>
      <c r="I3" s="1">
        <v>27.773106827033601</v>
      </c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3">
      <c r="A4" s="12">
        <v>150</v>
      </c>
      <c r="B4" s="1">
        <v>0.19236768579407054</v>
      </c>
      <c r="C4" s="1">
        <v>14.312806383511646</v>
      </c>
      <c r="D4" s="1">
        <v>0.17767188254367175</v>
      </c>
      <c r="E4" s="1">
        <v>20.8588233679586</v>
      </c>
      <c r="F4" s="1">
        <v>0.1591446337459112</v>
      </c>
      <c r="G4" s="1">
        <v>29.111498178498387</v>
      </c>
      <c r="H4" s="5">
        <v>0.15689624540021455</v>
      </c>
      <c r="I4" s="5">
        <v>30.113007796433934</v>
      </c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5" thickBot="1" x14ac:dyDescent="0.35">
      <c r="A5" s="13">
        <v>200</v>
      </c>
      <c r="B5" s="1">
        <v>0.19236768579407054</v>
      </c>
      <c r="C5" s="1">
        <v>14.312806383511401</v>
      </c>
      <c r="D5" s="1">
        <v>0.17767188254367175</v>
      </c>
      <c r="E5" s="1">
        <v>20.8588233679586</v>
      </c>
      <c r="F5" s="1">
        <v>0.15914463374591101</v>
      </c>
      <c r="G5" s="1">
        <v>29.111498178498401</v>
      </c>
      <c r="H5" s="5">
        <v>0.15689624540021455</v>
      </c>
      <c r="I5" s="1">
        <v>30.113007796433902</v>
      </c>
      <c r="K5" s="3"/>
      <c r="L5" s="3"/>
      <c r="M5" s="3"/>
      <c r="N5" s="3"/>
      <c r="O5" s="6"/>
      <c r="P5" s="6"/>
      <c r="Q5" s="3"/>
      <c r="R5" s="3"/>
      <c r="S5" s="3"/>
      <c r="T5" s="3"/>
    </row>
    <row r="6" spans="1:20" x14ac:dyDescent="0.3"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3">
      <c r="K7" s="3"/>
      <c r="L7" s="3"/>
      <c r="M7" s="3"/>
    </row>
    <row r="18" spans="12:15" x14ac:dyDescent="0.3">
      <c r="L18" s="24"/>
      <c r="M18" s="24"/>
      <c r="N18" s="24"/>
      <c r="O18" s="24"/>
    </row>
    <row r="19" spans="12:15" x14ac:dyDescent="0.3">
      <c r="L19" s="24"/>
      <c r="M19" s="24"/>
      <c r="N19" s="24"/>
      <c r="O19" s="24"/>
    </row>
    <row r="20" spans="12:15" x14ac:dyDescent="0.3">
      <c r="L20" s="24"/>
      <c r="M20" s="24"/>
      <c r="N20" s="24"/>
      <c r="O20" s="24"/>
    </row>
    <row r="21" spans="12:15" x14ac:dyDescent="0.3">
      <c r="L21" s="24"/>
      <c r="M21" s="24"/>
      <c r="N21" s="24"/>
      <c r="O21" s="24"/>
    </row>
    <row r="22" spans="12:15" x14ac:dyDescent="0.3">
      <c r="L22" s="24"/>
      <c r="M22" s="24"/>
      <c r="N22" s="24"/>
      <c r="O22" s="24"/>
    </row>
    <row r="23" spans="12:15" x14ac:dyDescent="0.3">
      <c r="L23" s="24"/>
      <c r="M23" s="24"/>
      <c r="N23" s="7"/>
      <c r="O23" s="7"/>
    </row>
    <row r="24" spans="12:15" x14ac:dyDescent="0.3">
      <c r="L24" s="24"/>
      <c r="M24" s="24"/>
      <c r="N24" s="24"/>
      <c r="O24" s="2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D2C3-C792-4510-B169-AAC6026FB021}">
  <dimension ref="A1:N23"/>
  <sheetViews>
    <sheetView topLeftCell="A10" workbookViewId="0">
      <selection sqref="A1:I9"/>
    </sheetView>
  </sheetViews>
  <sheetFormatPr defaultRowHeight="14.4" x14ac:dyDescent="0.3"/>
  <cols>
    <col min="1" max="1" width="12" bestFit="1" customWidth="1"/>
    <col min="5" max="5" width="12" bestFit="1" customWidth="1"/>
  </cols>
  <sheetData>
    <row r="1" spans="1:14" x14ac:dyDescent="0.3">
      <c r="A1" s="32" t="s">
        <v>33</v>
      </c>
      <c r="B1" s="45" t="s">
        <v>3</v>
      </c>
      <c r="C1" s="45"/>
      <c r="D1" s="45" t="s">
        <v>4</v>
      </c>
      <c r="E1" s="45"/>
      <c r="F1" s="45" t="s">
        <v>5</v>
      </c>
      <c r="G1" s="45"/>
      <c r="H1" s="45" t="s">
        <v>6</v>
      </c>
      <c r="I1" s="45"/>
    </row>
    <row r="2" spans="1:14" x14ac:dyDescent="0.3">
      <c r="A2" s="32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4" x14ac:dyDescent="0.3">
      <c r="A3" s="32">
        <v>0</v>
      </c>
      <c r="B3" s="1">
        <v>2</v>
      </c>
      <c r="C3" s="1">
        <v>5</v>
      </c>
      <c r="D3" s="1">
        <v>9</v>
      </c>
      <c r="E3" s="1">
        <v>5.5</v>
      </c>
      <c r="F3" s="1">
        <v>0</v>
      </c>
      <c r="G3" s="1">
        <v>5</v>
      </c>
      <c r="H3" s="1">
        <v>0</v>
      </c>
      <c r="I3" s="1">
        <v>5</v>
      </c>
    </row>
    <row r="4" spans="1:14" x14ac:dyDescent="0.3">
      <c r="A4" s="32">
        <f t="shared" ref="A4:A9" si="0">A3+10</f>
        <v>10</v>
      </c>
      <c r="B4" s="1">
        <v>7</v>
      </c>
      <c r="C4" s="1">
        <v>5</v>
      </c>
      <c r="D4" s="1">
        <v>9</v>
      </c>
      <c r="E4" s="1">
        <v>6</v>
      </c>
      <c r="F4" s="1">
        <v>7</v>
      </c>
      <c r="G4" s="1">
        <v>5.5</v>
      </c>
      <c r="H4" s="1">
        <v>6</v>
      </c>
      <c r="I4" s="1">
        <v>5.5</v>
      </c>
    </row>
    <row r="5" spans="1:14" x14ac:dyDescent="0.3">
      <c r="A5" s="32">
        <f t="shared" si="0"/>
        <v>20</v>
      </c>
      <c r="B5" s="1">
        <v>11</v>
      </c>
      <c r="C5" s="1">
        <v>5</v>
      </c>
      <c r="D5" s="1">
        <v>9</v>
      </c>
      <c r="E5" s="1">
        <v>6.5</v>
      </c>
      <c r="F5" s="1">
        <v>7</v>
      </c>
      <c r="G5" s="1">
        <v>6.5</v>
      </c>
      <c r="H5" s="1">
        <v>6</v>
      </c>
      <c r="I5" s="1">
        <v>6.5</v>
      </c>
    </row>
    <row r="6" spans="1:14" x14ac:dyDescent="0.3">
      <c r="A6" s="32">
        <f t="shared" si="0"/>
        <v>30</v>
      </c>
      <c r="B6" s="1">
        <v>11</v>
      </c>
      <c r="C6" s="1">
        <v>5</v>
      </c>
      <c r="D6" s="1">
        <v>9</v>
      </c>
      <c r="E6" s="1">
        <v>7</v>
      </c>
      <c r="F6" s="1">
        <v>7</v>
      </c>
      <c r="G6" s="1">
        <v>7</v>
      </c>
      <c r="H6" s="1"/>
      <c r="I6" s="1"/>
    </row>
    <row r="7" spans="1:14" x14ac:dyDescent="0.3">
      <c r="A7" s="32">
        <f t="shared" si="0"/>
        <v>40</v>
      </c>
      <c r="B7" s="1">
        <v>11</v>
      </c>
      <c r="C7" s="1">
        <v>5</v>
      </c>
      <c r="D7" s="1">
        <v>9</v>
      </c>
      <c r="E7" s="1">
        <v>7.5</v>
      </c>
      <c r="F7" s="1"/>
      <c r="G7" s="1"/>
      <c r="H7" s="1"/>
      <c r="I7" s="1"/>
    </row>
    <row r="8" spans="1:14" x14ac:dyDescent="0.3">
      <c r="A8" s="32">
        <f t="shared" si="0"/>
        <v>50</v>
      </c>
      <c r="B8" s="1">
        <v>11</v>
      </c>
      <c r="C8" s="1">
        <v>5.5</v>
      </c>
      <c r="D8" s="1"/>
      <c r="E8" s="1"/>
      <c r="F8" s="1"/>
      <c r="G8" s="1"/>
      <c r="H8" s="1"/>
      <c r="I8" s="1"/>
    </row>
    <row r="9" spans="1:14" x14ac:dyDescent="0.3">
      <c r="A9" s="32">
        <f t="shared" si="0"/>
        <v>60</v>
      </c>
      <c r="B9" s="1">
        <v>11</v>
      </c>
      <c r="C9" s="1">
        <v>5.5</v>
      </c>
      <c r="D9" s="1"/>
      <c r="E9" s="1"/>
      <c r="F9" s="1"/>
      <c r="G9" s="1"/>
      <c r="H9" s="1"/>
      <c r="I9" s="1"/>
    </row>
    <row r="13" spans="1:14" x14ac:dyDescent="0.3">
      <c r="A13" t="s">
        <v>9</v>
      </c>
      <c r="E13" t="s">
        <v>9</v>
      </c>
      <c r="I13" t="s">
        <v>9</v>
      </c>
      <c r="M13" t="s">
        <v>9</v>
      </c>
    </row>
    <row r="14" spans="1:14" x14ac:dyDescent="0.3">
      <c r="A14">
        <f>(5*1.074*0.10024*0.000000001)/(60*60*1128.035*998675*0.000001)</f>
        <v>1.3272908172842965E-16</v>
      </c>
      <c r="E14">
        <f>(5*0.708*0.10024*0.000000001)/(60*60*1128.035*798675*0.000001)</f>
        <v>1.0940801884704264E-16</v>
      </c>
      <c r="I14">
        <f>(5*0.507*0.10024*0.000000001)/(60*60*1128.035*598675*0.000001)</f>
        <v>1.0452082358074533E-16</v>
      </c>
      <c r="M14">
        <f>(5*0.387*0.10024*0.000000001)/(60*60*1128.035*498675*0.000001)</f>
        <v>9.5780997434671118E-17</v>
      </c>
    </row>
    <row r="15" spans="1:14" x14ac:dyDescent="0.3">
      <c r="A15" s="4">
        <f>A14*1013250000000000</f>
        <v>0.13448774206133135</v>
      </c>
      <c r="B15" t="s">
        <v>7</v>
      </c>
      <c r="E15" s="4">
        <f>E14*1013250000000000</f>
        <v>0.11085767509676595</v>
      </c>
      <c r="F15" t="s">
        <v>7</v>
      </c>
      <c r="I15">
        <f>I14*1013250000000000</f>
        <v>0.1059057244931902</v>
      </c>
      <c r="J15" t="s">
        <v>7</v>
      </c>
      <c r="M15">
        <f>M14*1013250000000000</f>
        <v>9.7050095650680512E-2</v>
      </c>
      <c r="N15" t="s">
        <v>7</v>
      </c>
    </row>
    <row r="18" spans="1:5" x14ac:dyDescent="0.3">
      <c r="A18" s="4"/>
      <c r="E18" s="4"/>
    </row>
    <row r="19" spans="1:5" x14ac:dyDescent="0.3">
      <c r="A19" s="1" t="s">
        <v>10</v>
      </c>
      <c r="B19" s="1" t="s">
        <v>11</v>
      </c>
      <c r="C19" s="1" t="s">
        <v>12</v>
      </c>
      <c r="D19" s="2" t="s">
        <v>13</v>
      </c>
    </row>
    <row r="20" spans="1:5" x14ac:dyDescent="0.3">
      <c r="A20" s="1">
        <v>20</v>
      </c>
      <c r="B20" s="5">
        <v>0.13448774206133135</v>
      </c>
      <c r="C20" s="5">
        <f>1-(B20/$B$20)</f>
        <v>0</v>
      </c>
      <c r="D20" s="5">
        <f>C20*100</f>
        <v>0</v>
      </c>
    </row>
    <row r="21" spans="1:5" x14ac:dyDescent="0.3">
      <c r="A21" s="1">
        <v>40</v>
      </c>
      <c r="B21" s="5">
        <v>0.110857675096766</v>
      </c>
      <c r="C21" s="5">
        <f>1-(B21/$B$20)</f>
        <v>0.17570424339334334</v>
      </c>
      <c r="D21" s="5">
        <f>C21*100</f>
        <v>17.570424339334334</v>
      </c>
    </row>
    <row r="22" spans="1:5" x14ac:dyDescent="0.3">
      <c r="A22" s="1">
        <v>60</v>
      </c>
      <c r="B22" s="1">
        <v>0.1059057244931902</v>
      </c>
      <c r="C22" s="1">
        <f>1-(B22/$B$20)</f>
        <v>0.21252507574338408</v>
      </c>
      <c r="D22" s="1">
        <f>C22*100</f>
        <v>21.252507574338409</v>
      </c>
    </row>
    <row r="23" spans="1:5" x14ac:dyDescent="0.3">
      <c r="A23" s="1">
        <v>80</v>
      </c>
      <c r="B23" s="1">
        <v>9.7050095650680512E-2</v>
      </c>
      <c r="C23" s="1">
        <f>1-(B23/$B$20)</f>
        <v>0.27837218349296022</v>
      </c>
      <c r="D23" s="1">
        <f>C23*100</f>
        <v>27.837218349296023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CB2D-5ACE-475C-9ED2-F5EBE32F123C}">
  <dimension ref="A1:P23"/>
  <sheetViews>
    <sheetView topLeftCell="A7" zoomScaleNormal="100" workbookViewId="0">
      <selection sqref="A1:I11"/>
    </sheetView>
  </sheetViews>
  <sheetFormatPr defaultRowHeight="14.4" x14ac:dyDescent="0.3"/>
  <cols>
    <col min="1" max="1" width="12" bestFit="1" customWidth="1"/>
    <col min="6" max="6" width="12" bestFit="1" customWidth="1"/>
    <col min="11" max="11" width="12" bestFit="1" customWidth="1"/>
    <col min="15" max="15" width="12" bestFit="1" customWidth="1"/>
  </cols>
  <sheetData>
    <row r="1" spans="1:16" x14ac:dyDescent="0.3">
      <c r="A1" s="26" t="s">
        <v>15</v>
      </c>
      <c r="B1" s="45" t="s">
        <v>3</v>
      </c>
      <c r="C1" s="45"/>
      <c r="D1" s="45" t="s">
        <v>4</v>
      </c>
      <c r="E1" s="45"/>
      <c r="F1" s="45" t="s">
        <v>5</v>
      </c>
      <c r="G1" s="45"/>
      <c r="H1" s="45" t="s">
        <v>6</v>
      </c>
      <c r="I1" s="45"/>
    </row>
    <row r="2" spans="1:16" x14ac:dyDescent="0.3">
      <c r="A2" s="32" t="s">
        <v>37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6" x14ac:dyDescent="0.3">
      <c r="A3" s="32">
        <v>0</v>
      </c>
      <c r="B3" s="1">
        <v>0</v>
      </c>
      <c r="C3" s="1">
        <v>1</v>
      </c>
      <c r="D3" s="1">
        <v>0</v>
      </c>
      <c r="E3" s="1">
        <v>1</v>
      </c>
      <c r="F3" s="1">
        <v>0</v>
      </c>
      <c r="G3" s="1">
        <v>1</v>
      </c>
      <c r="H3" s="1">
        <v>0</v>
      </c>
      <c r="I3" s="1">
        <v>1</v>
      </c>
    </row>
    <row r="4" spans="1:16" x14ac:dyDescent="0.3">
      <c r="A4" s="32">
        <f>A3+10</f>
        <v>10</v>
      </c>
      <c r="B4" s="1">
        <v>5</v>
      </c>
      <c r="C4" s="1">
        <v>1</v>
      </c>
      <c r="D4" s="1">
        <v>8</v>
      </c>
      <c r="E4" s="1">
        <v>1.2</v>
      </c>
      <c r="F4" s="1">
        <v>7</v>
      </c>
      <c r="G4" s="1">
        <v>1.2</v>
      </c>
      <c r="H4" s="1">
        <v>6</v>
      </c>
      <c r="I4" s="1">
        <v>1.4</v>
      </c>
    </row>
    <row r="5" spans="1:16" x14ac:dyDescent="0.3">
      <c r="A5" s="32">
        <f t="shared" ref="A5:A12" si="0">A4+10</f>
        <v>20</v>
      </c>
      <c r="B5" s="1">
        <v>10</v>
      </c>
      <c r="C5" s="1">
        <v>1</v>
      </c>
      <c r="D5" s="1">
        <v>9</v>
      </c>
      <c r="E5" s="1">
        <v>2</v>
      </c>
      <c r="F5" s="1">
        <v>7</v>
      </c>
      <c r="G5" s="1">
        <v>2</v>
      </c>
      <c r="H5" s="1">
        <v>6</v>
      </c>
      <c r="I5" s="1">
        <v>2.2000000000000002</v>
      </c>
    </row>
    <row r="6" spans="1:16" x14ac:dyDescent="0.3">
      <c r="A6" s="32">
        <f t="shared" si="0"/>
        <v>30</v>
      </c>
      <c r="B6" s="1">
        <v>11</v>
      </c>
      <c r="C6" s="1">
        <v>1</v>
      </c>
      <c r="D6" s="1">
        <v>9</v>
      </c>
      <c r="E6" s="1">
        <v>2.8</v>
      </c>
      <c r="F6" s="1">
        <v>7</v>
      </c>
      <c r="G6" s="1">
        <v>3</v>
      </c>
      <c r="H6" s="1">
        <v>6</v>
      </c>
      <c r="I6" s="1">
        <v>3.2</v>
      </c>
    </row>
    <row r="7" spans="1:16" x14ac:dyDescent="0.3">
      <c r="A7" s="32">
        <f t="shared" si="0"/>
        <v>40</v>
      </c>
      <c r="B7" s="1">
        <v>11</v>
      </c>
      <c r="C7" s="1">
        <v>1</v>
      </c>
      <c r="D7" s="1">
        <v>9</v>
      </c>
      <c r="E7" s="1">
        <v>3.6</v>
      </c>
      <c r="F7" s="1"/>
      <c r="G7" s="1"/>
      <c r="H7" s="1"/>
      <c r="I7" s="1"/>
    </row>
    <row r="8" spans="1:16" x14ac:dyDescent="0.3">
      <c r="A8" s="32">
        <f t="shared" si="0"/>
        <v>50</v>
      </c>
      <c r="B8" s="1">
        <v>10</v>
      </c>
      <c r="C8" s="1">
        <v>1.2</v>
      </c>
      <c r="D8" s="1"/>
      <c r="E8" s="1"/>
      <c r="F8" s="1"/>
      <c r="G8" s="1"/>
      <c r="H8" s="1"/>
      <c r="I8" s="1"/>
    </row>
    <row r="9" spans="1:16" x14ac:dyDescent="0.3">
      <c r="A9" s="32">
        <f t="shared" si="0"/>
        <v>60</v>
      </c>
      <c r="B9" s="1">
        <v>12</v>
      </c>
      <c r="C9" s="1">
        <v>1.6</v>
      </c>
      <c r="D9" s="1"/>
      <c r="E9" s="1"/>
      <c r="F9" s="1"/>
      <c r="G9" s="1"/>
      <c r="H9" s="1"/>
      <c r="I9" s="1"/>
    </row>
    <row r="10" spans="1:16" x14ac:dyDescent="0.3">
      <c r="A10" s="32">
        <f t="shared" si="0"/>
        <v>70</v>
      </c>
      <c r="B10" s="1">
        <v>12</v>
      </c>
      <c r="C10" s="1">
        <v>2.2000000000000002</v>
      </c>
      <c r="D10" s="1"/>
      <c r="E10" s="1"/>
      <c r="F10" s="1"/>
      <c r="G10" s="1"/>
      <c r="H10" s="1"/>
      <c r="I10" s="1"/>
    </row>
    <row r="11" spans="1:16" x14ac:dyDescent="0.3">
      <c r="A11" s="32">
        <f t="shared" si="0"/>
        <v>80</v>
      </c>
      <c r="B11" s="1">
        <v>12</v>
      </c>
      <c r="C11" s="1">
        <v>3</v>
      </c>
      <c r="D11" s="1"/>
      <c r="E11" s="1"/>
      <c r="F11" s="1"/>
      <c r="G11" s="1"/>
      <c r="H11" s="1"/>
      <c r="I11" s="1"/>
    </row>
    <row r="12" spans="1:16" x14ac:dyDescent="0.3">
      <c r="A12">
        <f t="shared" si="0"/>
        <v>90</v>
      </c>
    </row>
    <row r="14" spans="1:16" x14ac:dyDescent="0.3">
      <c r="A14" t="s">
        <v>9</v>
      </c>
      <c r="F14" t="s">
        <v>9</v>
      </c>
      <c r="K14" t="s">
        <v>9</v>
      </c>
      <c r="O14" t="s">
        <v>9</v>
      </c>
    </row>
    <row r="15" spans="1:16" x14ac:dyDescent="0.3">
      <c r="A15">
        <f>(5*1.074*0.10024*0.000000001)/(60*60*1128.035*1098675*0.000001)</f>
        <v>1.2064824965994447E-16</v>
      </c>
      <c r="F15">
        <f>(5*0.708*0.10024*0.000000001)/(60*60*1128.035*798675*0.000001)</f>
        <v>1.0940801884704264E-16</v>
      </c>
      <c r="K15">
        <f>(5*0.507*0.10024*0.000000001)/(60*60*1128.035*598675*0.000001)</f>
        <v>1.0452082358074533E-16</v>
      </c>
      <c r="O15">
        <f>(5*0.387*0.10024*0.000000001)/(60*60*1128.035*498675*0.000001)</f>
        <v>9.5780997434671118E-17</v>
      </c>
    </row>
    <row r="16" spans="1:16" x14ac:dyDescent="0.3">
      <c r="A16" s="4">
        <f>A15*1013250000000000</f>
        <v>0.12224683896793873</v>
      </c>
      <c r="B16" t="s">
        <v>7</v>
      </c>
      <c r="F16">
        <f>F15*1013250000000000</f>
        <v>0.11085767509676595</v>
      </c>
      <c r="G16" t="s">
        <v>7</v>
      </c>
      <c r="K16">
        <f>K15*1013250000000000</f>
        <v>0.1059057244931902</v>
      </c>
      <c r="L16" t="s">
        <v>7</v>
      </c>
      <c r="O16">
        <f>O15*1013250000000000</f>
        <v>9.7050095650680512E-2</v>
      </c>
      <c r="P16" t="s">
        <v>7</v>
      </c>
    </row>
    <row r="18" spans="1:4" x14ac:dyDescent="0.3">
      <c r="A18" s="4"/>
    </row>
    <row r="19" spans="1:4" x14ac:dyDescent="0.3">
      <c r="A19" s="1" t="s">
        <v>10</v>
      </c>
      <c r="B19" s="1" t="s">
        <v>11</v>
      </c>
      <c r="C19" s="1" t="s">
        <v>12</v>
      </c>
      <c r="D19" s="2" t="s">
        <v>13</v>
      </c>
    </row>
    <row r="20" spans="1:4" x14ac:dyDescent="0.3">
      <c r="A20" s="1">
        <v>20</v>
      </c>
      <c r="B20" s="5">
        <v>0.12224683896793873</v>
      </c>
      <c r="C20" s="1">
        <f>1-(B20/0.134487742061331)</f>
        <v>9.1018727103099106E-2</v>
      </c>
      <c r="D20" s="5">
        <f>C20*100</f>
        <v>9.1018727103099106</v>
      </c>
    </row>
    <row r="21" spans="1:4" x14ac:dyDescent="0.3">
      <c r="A21" s="1">
        <v>40</v>
      </c>
      <c r="B21" s="1">
        <v>0.11085767509676595</v>
      </c>
      <c r="C21" s="1">
        <f t="shared" ref="C21:C23" si="1">1-(B21/0.134487742061331)</f>
        <v>0.17570424339334156</v>
      </c>
      <c r="D21" s="1">
        <f t="shared" ref="D21:D23" si="2">C21*100</f>
        <v>17.570424339334156</v>
      </c>
    </row>
    <row r="22" spans="1:4" x14ac:dyDescent="0.3">
      <c r="A22" s="1">
        <v>60</v>
      </c>
      <c r="B22" s="1">
        <v>0.1059057244931902</v>
      </c>
      <c r="C22" s="1">
        <f t="shared" si="1"/>
        <v>0.21252507574338197</v>
      </c>
      <c r="D22" s="1">
        <f t="shared" si="2"/>
        <v>21.252507574338196</v>
      </c>
    </row>
    <row r="23" spans="1:4" x14ac:dyDescent="0.3">
      <c r="A23" s="1">
        <v>80</v>
      </c>
      <c r="B23" s="1">
        <v>9.7050095650680512E-2</v>
      </c>
      <c r="C23" s="1">
        <f t="shared" si="1"/>
        <v>0.27837218349295834</v>
      </c>
      <c r="D23" s="1">
        <f t="shared" si="2"/>
        <v>27.837218349295835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8B3A2-DEF0-4622-A7AC-876B70F4CD3D}">
  <dimension ref="A1:N23"/>
  <sheetViews>
    <sheetView workbookViewId="0">
      <selection sqref="A1:I6"/>
    </sheetView>
  </sheetViews>
  <sheetFormatPr defaultRowHeight="14.4" x14ac:dyDescent="0.3"/>
  <cols>
    <col min="1" max="1" width="12" bestFit="1" customWidth="1"/>
  </cols>
  <sheetData>
    <row r="1" spans="1:14" x14ac:dyDescent="0.3">
      <c r="A1" s="26" t="s">
        <v>15</v>
      </c>
      <c r="B1" s="45" t="s">
        <v>3</v>
      </c>
      <c r="C1" s="45"/>
      <c r="D1" s="45" t="s">
        <v>4</v>
      </c>
      <c r="E1" s="45"/>
      <c r="F1" s="45" t="s">
        <v>5</v>
      </c>
      <c r="G1" s="45"/>
      <c r="H1" s="45" t="s">
        <v>6</v>
      </c>
      <c r="I1" s="45"/>
    </row>
    <row r="2" spans="1:14" x14ac:dyDescent="0.3">
      <c r="A2" s="32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4" x14ac:dyDescent="0.3">
      <c r="A3" s="32">
        <v>0</v>
      </c>
      <c r="B3" s="1">
        <v>2</v>
      </c>
      <c r="C3" s="1">
        <v>5</v>
      </c>
      <c r="D3" s="1">
        <v>1</v>
      </c>
      <c r="E3" s="1">
        <v>5</v>
      </c>
      <c r="F3" s="1">
        <v>2</v>
      </c>
      <c r="G3" s="1">
        <v>5</v>
      </c>
      <c r="H3" s="1">
        <v>2</v>
      </c>
      <c r="I3" s="1">
        <v>5</v>
      </c>
    </row>
    <row r="4" spans="1:14" x14ac:dyDescent="0.3">
      <c r="A4" s="32">
        <f t="shared" ref="A4:A6" si="0">A3+10</f>
        <v>10</v>
      </c>
      <c r="B4" s="1">
        <v>12</v>
      </c>
      <c r="C4" s="1">
        <v>5.5</v>
      </c>
      <c r="D4" s="1">
        <v>7</v>
      </c>
      <c r="E4" s="1">
        <v>5.5</v>
      </c>
      <c r="F4" s="1">
        <v>7</v>
      </c>
      <c r="G4" s="1">
        <v>6</v>
      </c>
      <c r="H4" s="1">
        <v>6</v>
      </c>
      <c r="I4" s="1">
        <v>5.5</v>
      </c>
    </row>
    <row r="5" spans="1:14" x14ac:dyDescent="0.3">
      <c r="A5" s="32">
        <f t="shared" si="0"/>
        <v>20</v>
      </c>
      <c r="B5" s="1">
        <v>13</v>
      </c>
      <c r="C5" s="1">
        <v>6.5</v>
      </c>
      <c r="D5" s="1">
        <v>9</v>
      </c>
      <c r="E5" s="1">
        <v>6.5</v>
      </c>
      <c r="F5" s="1">
        <v>7</v>
      </c>
      <c r="G5" s="1">
        <v>6.5</v>
      </c>
      <c r="H5" s="1">
        <v>6</v>
      </c>
      <c r="I5" s="1">
        <v>6</v>
      </c>
    </row>
    <row r="6" spans="1:14" x14ac:dyDescent="0.3">
      <c r="A6" s="32">
        <f t="shared" si="0"/>
        <v>30</v>
      </c>
      <c r="B6" s="1">
        <v>13</v>
      </c>
      <c r="C6" s="1">
        <v>7</v>
      </c>
      <c r="D6" s="1">
        <v>9</v>
      </c>
      <c r="E6" s="1">
        <v>7</v>
      </c>
      <c r="F6" s="1">
        <v>7</v>
      </c>
      <c r="G6" s="1">
        <v>7.5</v>
      </c>
      <c r="H6" s="1"/>
      <c r="I6" s="1"/>
    </row>
    <row r="14" spans="1:14" x14ac:dyDescent="0.3">
      <c r="A14" t="s">
        <v>9</v>
      </c>
      <c r="E14" t="s">
        <v>9</v>
      </c>
      <c r="I14" t="s">
        <v>9</v>
      </c>
      <c r="M14" t="s">
        <v>9</v>
      </c>
    </row>
    <row r="15" spans="1:14" x14ac:dyDescent="0.3">
      <c r="A15">
        <f>(5*1.074*0.10024*0.000000001)/(60*60*1128.035*1198675*0.000001)</f>
        <v>1.1058311526905914E-16</v>
      </c>
      <c r="E15">
        <f>(5*0.708*0.10024*0.000000001)/(60*60*1128.035*798675*0.000001)</f>
        <v>1.0940801884704264E-16</v>
      </c>
      <c r="I15">
        <f>(5*0.507*0.10024*0.000000001)/(60*60*1128.035*598675*0.000001)</f>
        <v>1.0452082358074533E-16</v>
      </c>
      <c r="M15">
        <f>(5*0.387*0.10024*0.000000001)/(60*60*1128.035*498675*0.000001)</f>
        <v>9.5780997434671118E-17</v>
      </c>
    </row>
    <row r="16" spans="1:14" x14ac:dyDescent="0.3">
      <c r="A16">
        <f>A15*1013250000000000</f>
        <v>0.11204834154637418</v>
      </c>
      <c r="B16" t="s">
        <v>7</v>
      </c>
      <c r="E16">
        <f>E15*1013250000000000</f>
        <v>0.11085767509676595</v>
      </c>
      <c r="F16" t="s">
        <v>7</v>
      </c>
      <c r="I16">
        <f>I15*1013250000000000</f>
        <v>0.1059057244931902</v>
      </c>
      <c r="J16" t="s">
        <v>7</v>
      </c>
      <c r="M16">
        <f>M15*1013250000000000</f>
        <v>9.7050095650680512E-2</v>
      </c>
      <c r="N16" t="s">
        <v>7</v>
      </c>
    </row>
    <row r="19" spans="1:4" x14ac:dyDescent="0.3">
      <c r="A19" s="1" t="s">
        <v>10</v>
      </c>
      <c r="B19" s="1" t="s">
        <v>11</v>
      </c>
      <c r="C19" s="1" t="s">
        <v>12</v>
      </c>
      <c r="D19" s="2" t="s">
        <v>13</v>
      </c>
    </row>
    <row r="20" spans="1:4" x14ac:dyDescent="0.3">
      <c r="A20" s="1">
        <v>20</v>
      </c>
      <c r="B20" s="1">
        <v>0.11204834154637418</v>
      </c>
      <c r="C20" s="1">
        <f>1-(B20/0.134487742061331)</f>
        <v>0.16685089786639207</v>
      </c>
      <c r="D20" s="1">
        <f>C20*100</f>
        <v>16.685089786639207</v>
      </c>
    </row>
    <row r="21" spans="1:4" x14ac:dyDescent="0.3">
      <c r="A21" s="1">
        <v>40</v>
      </c>
      <c r="B21" s="1">
        <v>0.11085767509676595</v>
      </c>
      <c r="C21" s="1">
        <f t="shared" ref="C21:C23" si="1">1-(B21/0.134487742061331)</f>
        <v>0.17570424339334156</v>
      </c>
      <c r="D21" s="1">
        <f t="shared" ref="D21:D23" si="2">C21*100</f>
        <v>17.570424339334156</v>
      </c>
    </row>
    <row r="22" spans="1:4" x14ac:dyDescent="0.3">
      <c r="A22" s="1">
        <v>60</v>
      </c>
      <c r="B22" s="1">
        <v>0.1059057244931902</v>
      </c>
      <c r="C22" s="1">
        <f t="shared" si="1"/>
        <v>0.21252507574338197</v>
      </c>
      <c r="D22" s="1">
        <f t="shared" si="2"/>
        <v>21.252507574338196</v>
      </c>
    </row>
    <row r="23" spans="1:4" x14ac:dyDescent="0.3">
      <c r="A23" s="1">
        <v>80</v>
      </c>
      <c r="B23" s="1">
        <v>9.7050095650680512E-2</v>
      </c>
      <c r="C23" s="1">
        <f t="shared" si="1"/>
        <v>0.27837218349295834</v>
      </c>
      <c r="D23" s="1">
        <f t="shared" si="2"/>
        <v>27.837218349295835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B882B-85BA-41C6-A127-494F90D61A35}">
  <sheetPr>
    <tabColor rgb="FFFF0000"/>
  </sheetPr>
  <dimension ref="A1:V9"/>
  <sheetViews>
    <sheetView workbookViewId="0">
      <selection activeCell="V9" sqref="V9"/>
    </sheetView>
  </sheetViews>
  <sheetFormatPr defaultRowHeight="14.4" x14ac:dyDescent="0.3"/>
  <sheetData>
    <row r="1" spans="1:22" ht="15" thickBot="1" x14ac:dyDescent="0.35">
      <c r="A1" s="10" t="s">
        <v>15</v>
      </c>
      <c r="B1" s="9"/>
      <c r="C1" s="17">
        <v>20</v>
      </c>
      <c r="D1" s="9"/>
      <c r="E1" s="17">
        <v>40</v>
      </c>
      <c r="F1" s="9"/>
      <c r="G1" s="17">
        <v>60</v>
      </c>
      <c r="H1" s="9"/>
      <c r="I1" s="17">
        <v>80</v>
      </c>
    </row>
    <row r="2" spans="1:22" ht="15" thickBot="1" x14ac:dyDescent="0.35">
      <c r="A2" s="11" t="s">
        <v>14</v>
      </c>
      <c r="B2" s="18" t="s">
        <v>9</v>
      </c>
      <c r="C2" s="20" t="s">
        <v>12</v>
      </c>
      <c r="D2" s="20" t="s">
        <v>9</v>
      </c>
      <c r="E2" s="19" t="s">
        <v>12</v>
      </c>
      <c r="F2" s="20" t="s">
        <v>9</v>
      </c>
      <c r="G2" s="19" t="s">
        <v>12</v>
      </c>
      <c r="H2" s="20" t="s">
        <v>9</v>
      </c>
      <c r="I2" s="19" t="s">
        <v>12</v>
      </c>
      <c r="R2" s="24"/>
      <c r="S2" s="24"/>
      <c r="T2" s="24"/>
      <c r="U2" s="24"/>
      <c r="V2" s="24"/>
    </row>
    <row r="3" spans="1:22" x14ac:dyDescent="0.3">
      <c r="A3" s="15">
        <v>100</v>
      </c>
      <c r="B3" s="5">
        <v>0.13448774206133135</v>
      </c>
      <c r="C3" s="5">
        <v>0</v>
      </c>
      <c r="D3" s="5">
        <v>0.11085767509676595</v>
      </c>
      <c r="E3" s="5">
        <v>17.57042433933438</v>
      </c>
      <c r="F3" s="1">
        <v>0.1059057244931902</v>
      </c>
      <c r="G3" s="1">
        <v>21.252507574338409</v>
      </c>
      <c r="H3" s="1">
        <v>9.7050095650680512E-2</v>
      </c>
      <c r="I3" s="1">
        <v>27.837218349296023</v>
      </c>
      <c r="R3" s="24"/>
      <c r="S3" s="24"/>
      <c r="T3" s="24"/>
      <c r="U3" s="24"/>
      <c r="V3" s="24"/>
    </row>
    <row r="4" spans="1:22" x14ac:dyDescent="0.3">
      <c r="A4" s="15">
        <v>150</v>
      </c>
      <c r="B4" s="5">
        <v>0.12224683896793873</v>
      </c>
      <c r="C4" s="5">
        <v>9.1018727103099106</v>
      </c>
      <c r="D4" s="1">
        <v>0.11085767509676595</v>
      </c>
      <c r="E4" s="1">
        <v>17.570424339334156</v>
      </c>
      <c r="F4" s="1">
        <v>0.1059057244931902</v>
      </c>
      <c r="G4" s="1">
        <v>21.252507574338196</v>
      </c>
      <c r="H4" s="1">
        <v>9.7050095650680512E-2</v>
      </c>
      <c r="I4" s="1">
        <v>27.837218349295835</v>
      </c>
      <c r="R4" s="24"/>
      <c r="S4" s="24"/>
      <c r="T4" s="24"/>
      <c r="U4" s="24"/>
      <c r="V4" s="24"/>
    </row>
    <row r="5" spans="1:22" ht="15" thickBot="1" x14ac:dyDescent="0.35">
      <c r="A5" s="16">
        <v>200</v>
      </c>
      <c r="B5" s="1">
        <v>0.11204834154637418</v>
      </c>
      <c r="C5" s="1">
        <v>16.685089786639207</v>
      </c>
      <c r="D5" s="1">
        <v>0.11085767509676595</v>
      </c>
      <c r="E5" s="1">
        <v>17.570424339334156</v>
      </c>
      <c r="F5" s="1">
        <v>0.1059057244931902</v>
      </c>
      <c r="G5" s="1">
        <v>21.252507574338196</v>
      </c>
      <c r="H5" s="1">
        <v>9.7050095650680512E-2</v>
      </c>
      <c r="I5" s="1">
        <v>27.837218349295835</v>
      </c>
      <c r="R5" s="24"/>
      <c r="S5" s="24"/>
      <c r="T5" s="7"/>
      <c r="U5" s="7"/>
      <c r="V5" s="24"/>
    </row>
    <row r="6" spans="1:22" x14ac:dyDescent="0.3">
      <c r="R6" s="24"/>
      <c r="S6" s="24"/>
      <c r="T6" s="7"/>
      <c r="U6" s="24"/>
      <c r="V6" s="24"/>
    </row>
    <row r="7" spans="1:22" x14ac:dyDescent="0.3">
      <c r="F7" s="3"/>
      <c r="G7" s="3"/>
      <c r="H7" s="3"/>
      <c r="I7" s="3"/>
      <c r="R7" s="24"/>
      <c r="S7" s="24"/>
      <c r="T7" s="24"/>
      <c r="U7" s="24"/>
      <c r="V7" s="24"/>
    </row>
    <row r="8" spans="1:22" x14ac:dyDescent="0.3">
      <c r="A8" s="3"/>
      <c r="B8" s="24"/>
      <c r="C8" s="3"/>
      <c r="R8" s="24"/>
      <c r="S8" s="24"/>
      <c r="T8" s="24"/>
      <c r="U8" s="24"/>
      <c r="V8" s="24"/>
    </row>
    <row r="9" spans="1:22" x14ac:dyDescent="0.3">
      <c r="R9" s="24"/>
      <c r="S9" s="24"/>
      <c r="T9" s="24"/>
      <c r="U9" s="24"/>
      <c r="V9" s="2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9A102-00DC-4214-88BB-D15DCF462296}">
  <dimension ref="A1:N21"/>
  <sheetViews>
    <sheetView workbookViewId="0">
      <selection sqref="A1:I8"/>
    </sheetView>
  </sheetViews>
  <sheetFormatPr defaultRowHeight="14.4" x14ac:dyDescent="0.3"/>
  <cols>
    <col min="1" max="1" width="12" bestFit="1" customWidth="1"/>
    <col min="9" max="9" width="12" bestFit="1" customWidth="1"/>
    <col min="13" max="13" width="12" bestFit="1" customWidth="1"/>
  </cols>
  <sheetData>
    <row r="1" spans="1:14" x14ac:dyDescent="0.3">
      <c r="A1" s="26" t="s">
        <v>15</v>
      </c>
      <c r="B1" s="45" t="s">
        <v>3</v>
      </c>
      <c r="C1" s="45"/>
      <c r="D1" s="45" t="s">
        <v>4</v>
      </c>
      <c r="E1" s="45"/>
      <c r="F1" s="45" t="s">
        <v>5</v>
      </c>
      <c r="G1" s="45"/>
      <c r="H1" s="45" t="s">
        <v>6</v>
      </c>
      <c r="I1" s="45"/>
    </row>
    <row r="2" spans="1:14" x14ac:dyDescent="0.3">
      <c r="A2" s="32" t="s">
        <v>37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</row>
    <row r="3" spans="1:14" x14ac:dyDescent="0.3">
      <c r="A3" s="32">
        <v>0</v>
      </c>
      <c r="B3" s="1">
        <v>4</v>
      </c>
      <c r="C3" s="1">
        <v>1</v>
      </c>
      <c r="D3" s="1">
        <v>0</v>
      </c>
      <c r="E3" s="1">
        <v>1</v>
      </c>
      <c r="F3" s="1">
        <v>2</v>
      </c>
      <c r="G3" s="1">
        <v>1</v>
      </c>
      <c r="H3" s="1">
        <v>1</v>
      </c>
      <c r="I3" s="1">
        <v>1</v>
      </c>
    </row>
    <row r="4" spans="1:14" x14ac:dyDescent="0.3">
      <c r="A4" s="32">
        <f>A3+10</f>
        <v>10</v>
      </c>
      <c r="B4" s="1">
        <v>11</v>
      </c>
      <c r="C4" s="1">
        <v>1.1000000000000001</v>
      </c>
      <c r="D4" s="1">
        <v>8</v>
      </c>
      <c r="E4" s="1">
        <v>1.4</v>
      </c>
      <c r="F4" s="1">
        <v>6.75</v>
      </c>
      <c r="G4" s="1">
        <v>1.4</v>
      </c>
      <c r="H4" s="1">
        <v>5.5</v>
      </c>
      <c r="I4" s="1">
        <v>1.4</v>
      </c>
    </row>
    <row r="5" spans="1:14" x14ac:dyDescent="0.3">
      <c r="A5" s="32">
        <f t="shared" ref="A5:A8" si="0">A4+10</f>
        <v>20</v>
      </c>
      <c r="B5" s="1">
        <v>11</v>
      </c>
      <c r="C5" s="1">
        <v>1.6</v>
      </c>
      <c r="D5" s="1">
        <v>9</v>
      </c>
      <c r="E5" s="1">
        <v>2.2000000000000002</v>
      </c>
      <c r="F5" s="1">
        <v>6.75</v>
      </c>
      <c r="G5" s="1">
        <v>2</v>
      </c>
      <c r="H5" s="1">
        <v>5.5</v>
      </c>
      <c r="I5" s="1">
        <v>2.2000000000000002</v>
      </c>
    </row>
    <row r="6" spans="1:14" x14ac:dyDescent="0.3">
      <c r="A6" s="32">
        <f t="shared" si="0"/>
        <v>30</v>
      </c>
      <c r="B6" s="1">
        <v>11</v>
      </c>
      <c r="C6" s="1">
        <v>1.8</v>
      </c>
      <c r="D6" s="1">
        <v>9</v>
      </c>
      <c r="E6" s="1">
        <v>3</v>
      </c>
      <c r="F6" s="1">
        <v>6.75</v>
      </c>
      <c r="G6" s="1">
        <v>2.4</v>
      </c>
      <c r="H6" s="1"/>
      <c r="I6" s="1"/>
    </row>
    <row r="7" spans="1:14" x14ac:dyDescent="0.3">
      <c r="A7" s="32">
        <f t="shared" si="0"/>
        <v>40</v>
      </c>
      <c r="B7" s="1">
        <v>11</v>
      </c>
      <c r="C7" s="1">
        <v>2.6</v>
      </c>
      <c r="D7" s="1">
        <v>9</v>
      </c>
      <c r="E7" s="1">
        <v>4.8</v>
      </c>
      <c r="F7" s="1"/>
      <c r="G7" s="1"/>
      <c r="H7" s="1"/>
      <c r="I7" s="1"/>
    </row>
    <row r="8" spans="1:14" x14ac:dyDescent="0.3">
      <c r="A8" s="32">
        <f t="shared" si="0"/>
        <v>50</v>
      </c>
      <c r="B8" s="1">
        <v>11</v>
      </c>
      <c r="C8" s="1">
        <v>3.6</v>
      </c>
      <c r="D8" s="1"/>
      <c r="E8" s="1"/>
      <c r="F8" s="1"/>
      <c r="G8" s="1"/>
      <c r="H8" s="1"/>
      <c r="I8" s="1"/>
    </row>
    <row r="12" spans="1:14" x14ac:dyDescent="0.3">
      <c r="A12" t="s">
        <v>9</v>
      </c>
      <c r="E12" t="s">
        <v>9</v>
      </c>
      <c r="I12" t="s">
        <v>9</v>
      </c>
      <c r="M12" t="s">
        <v>9</v>
      </c>
    </row>
    <row r="13" spans="1:14" x14ac:dyDescent="0.3">
      <c r="A13">
        <f>(5*1.074*0.100044*0.000000001)/(60*60*1123.99*998675*0.000001)</f>
        <v>1.3294628523479917E-16</v>
      </c>
      <c r="B13" t="s">
        <v>8</v>
      </c>
      <c r="E13">
        <f>(5*0.708*0.100044*0.000000001)/(60*60*1123.99*798675*0.000001)</f>
        <v>1.0958705877566313E-16</v>
      </c>
      <c r="F13" t="s">
        <v>8</v>
      </c>
      <c r="I13">
        <f>(5*0.507*0.100044*0.000000001)/(60*60*1123.99*573675*0.000001)</f>
        <v>1.0925419935498615E-16</v>
      </c>
      <c r="J13" t="s">
        <v>8</v>
      </c>
      <c r="M13">
        <f>(5*0.387*0.100044*0.000000001)/(60*60*1123.99*448675*0.000001)</f>
        <v>1.0662896586868496E-16</v>
      </c>
      <c r="N13" t="s">
        <v>8</v>
      </c>
    </row>
    <row r="14" spans="1:14" x14ac:dyDescent="0.3">
      <c r="A14">
        <f>A13*1013250000000000</f>
        <v>0.13470782351416027</v>
      </c>
      <c r="B14" t="s">
        <v>7</v>
      </c>
      <c r="E14">
        <f>E13*1013250000000000</f>
        <v>0.11103908730444068</v>
      </c>
      <c r="F14" t="s">
        <v>7</v>
      </c>
      <c r="I14">
        <f>I13*1013250000000000</f>
        <v>0.11070181749643972</v>
      </c>
      <c r="J14" t="s">
        <v>7</v>
      </c>
      <c r="M14">
        <f>M13*1013250000000000</f>
        <v>0.10804179966644503</v>
      </c>
      <c r="N14" t="s">
        <v>7</v>
      </c>
    </row>
    <row r="17" spans="1:4" x14ac:dyDescent="0.3">
      <c r="A17" s="1" t="s">
        <v>10</v>
      </c>
      <c r="B17" s="1" t="s">
        <v>11</v>
      </c>
      <c r="C17" s="1" t="s">
        <v>12</v>
      </c>
      <c r="D17" s="2" t="s">
        <v>13</v>
      </c>
    </row>
    <row r="18" spans="1:4" x14ac:dyDescent="0.3">
      <c r="A18" s="1">
        <v>20</v>
      </c>
      <c r="B18" s="1">
        <v>0.13470782351416</v>
      </c>
      <c r="C18" s="1">
        <v>0</v>
      </c>
      <c r="D18" s="1">
        <f>C18*100</f>
        <v>0</v>
      </c>
    </row>
    <row r="19" spans="1:4" x14ac:dyDescent="0.3">
      <c r="A19" s="1">
        <v>40</v>
      </c>
      <c r="B19" s="1">
        <v>0.11103908730444068</v>
      </c>
      <c r="C19" s="1">
        <f>1-(B19/$A$14)</f>
        <v>0.17570424339334367</v>
      </c>
      <c r="D19" s="1">
        <f>C19*100</f>
        <v>17.570424339334366</v>
      </c>
    </row>
    <row r="20" spans="1:4" x14ac:dyDescent="0.3">
      <c r="A20" s="1">
        <v>60</v>
      </c>
      <c r="B20" s="5">
        <v>0.11070181749643972</v>
      </c>
      <c r="C20" s="1">
        <f>1-(B20/$A$14)</f>
        <v>0.17820795698029435</v>
      </c>
      <c r="D20" s="1">
        <f>C20*100</f>
        <v>17.820795698029436</v>
      </c>
    </row>
    <row r="21" spans="1:4" x14ac:dyDescent="0.3">
      <c r="A21" s="1">
        <v>80</v>
      </c>
      <c r="B21" s="5">
        <v>0.10804179966644503</v>
      </c>
      <c r="C21" s="1">
        <f>1-(B21/$A$14)</f>
        <v>0.19795452967816785</v>
      </c>
      <c r="D21" s="1">
        <f>C21*100</f>
        <v>19.795452967816786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AL4 100bar</vt:lpstr>
      <vt:lpstr>AL4 150bar</vt:lpstr>
      <vt:lpstr>AL4 200bar</vt:lpstr>
      <vt:lpstr>AL4 final</vt:lpstr>
      <vt:lpstr>AL5 100bar</vt:lpstr>
      <vt:lpstr>AL5 150bar</vt:lpstr>
      <vt:lpstr>AL5 200bar</vt:lpstr>
      <vt:lpstr>AL5 final</vt:lpstr>
      <vt:lpstr>AL6 100bar</vt:lpstr>
      <vt:lpstr>AL6 150 bar</vt:lpstr>
      <vt:lpstr>AL6 200 bar</vt:lpstr>
      <vt:lpstr>Al6 final</vt:lpstr>
      <vt:lpstr>3 in 1 perm vs pres</vt:lpstr>
      <vt:lpstr>3 in 1 prf vs temp</vt:lpstr>
      <vt:lpstr>3 in 1 PRF vs pres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Huawei</cp:lastModifiedBy>
  <dcterms:created xsi:type="dcterms:W3CDTF">2015-06-05T18:17:20Z</dcterms:created>
  <dcterms:modified xsi:type="dcterms:W3CDTF">2021-02-19T20:25:47Z</dcterms:modified>
</cp:coreProperties>
</file>